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m\Desktop\"/>
    </mc:Choice>
  </mc:AlternateContent>
  <bookViews>
    <workbookView xWindow="0" yWindow="135" windowWidth="22980" windowHeight="9000" firstSheet="1" activeTab="1"/>
  </bookViews>
  <sheets>
    <sheet name="2020-2022 проект презентація" sheetId="1" r:id="rId1"/>
    <sheet name="2020-2022 рішення" sheetId="5" r:id="rId2"/>
  </sheets>
  <definedNames>
    <definedName name="_xlnm.Print_Area" localSheetId="0">'2020-2022 проект презентація'!$A$1:$Z$65</definedName>
    <definedName name="_xlnm.Print_Area" localSheetId="1">'2020-2022 рішення'!$A$1:$Z$64</definedName>
  </definedNames>
  <calcPr calcId="152511"/>
</workbook>
</file>

<file path=xl/calcChain.xml><?xml version="1.0" encoding="utf-8"?>
<calcChain xmlns="http://schemas.openxmlformats.org/spreadsheetml/2006/main">
  <c r="T63" i="5" l="1"/>
  <c r="S63" i="5"/>
  <c r="R63" i="5"/>
  <c r="Q63" i="5"/>
  <c r="P63" i="5"/>
  <c r="O63" i="5"/>
  <c r="T61" i="5"/>
  <c r="R61" i="5"/>
  <c r="Q61" i="5"/>
  <c r="P61" i="5"/>
  <c r="AE56" i="5"/>
  <c r="T55" i="5"/>
  <c r="AF54" i="5" s="1"/>
  <c r="S55" i="5"/>
  <c r="AA52" i="5" s="1"/>
  <c r="R55" i="5"/>
  <c r="P55" i="5"/>
  <c r="E55" i="5"/>
  <c r="S24" i="5" s="1"/>
  <c r="S62" i="5" s="1"/>
  <c r="F54" i="5"/>
  <c r="F53" i="5" s="1"/>
  <c r="E54" i="5"/>
  <c r="D54" i="5"/>
  <c r="D53" i="5" s="1"/>
  <c r="C54" i="5"/>
  <c r="C53" i="5" s="1"/>
  <c r="B54" i="5"/>
  <c r="B53" i="5" s="1"/>
  <c r="T51" i="5"/>
  <c r="T50" i="5" s="1"/>
  <c r="S51" i="5"/>
  <c r="S50" i="5" s="1"/>
  <c r="Q51" i="5"/>
  <c r="Q50" i="5" s="1"/>
  <c r="R50" i="5"/>
  <c r="P50" i="5"/>
  <c r="T49" i="5"/>
  <c r="S49" i="5"/>
  <c r="S48" i="5"/>
  <c r="S47" i="5" s="1"/>
  <c r="R47" i="5"/>
  <c r="Q47" i="5"/>
  <c r="P47" i="5"/>
  <c r="F47" i="5"/>
  <c r="E47" i="5"/>
  <c r="D47" i="5"/>
  <c r="C47" i="5"/>
  <c r="F45" i="5"/>
  <c r="E45" i="5"/>
  <c r="D45" i="5"/>
  <c r="C45" i="5"/>
  <c r="T42" i="5"/>
  <c r="S42" i="5"/>
  <c r="R42" i="5"/>
  <c r="Q42" i="5"/>
  <c r="P42" i="5"/>
  <c r="B41" i="5"/>
  <c r="B22" i="5" s="1"/>
  <c r="T39" i="5"/>
  <c r="T38" i="5" s="1"/>
  <c r="T46" i="5" s="1"/>
  <c r="S39" i="5"/>
  <c r="S38" i="5" s="1"/>
  <c r="S46" i="5" s="1"/>
  <c r="Q39" i="5"/>
  <c r="Q38" i="5" s="1"/>
  <c r="R38" i="5"/>
  <c r="P38" i="5"/>
  <c r="F38" i="5"/>
  <c r="S37" i="5"/>
  <c r="S36" i="5" s="1"/>
  <c r="R36" i="5"/>
  <c r="Q36" i="5"/>
  <c r="P36" i="5"/>
  <c r="B35" i="5"/>
  <c r="T34" i="5"/>
  <c r="AE32" i="5" s="1"/>
  <c r="T33" i="5"/>
  <c r="AE31" i="5" s="1"/>
  <c r="S32" i="5"/>
  <c r="R32" i="5"/>
  <c r="Q32" i="5"/>
  <c r="P32" i="5"/>
  <c r="F29" i="5"/>
  <c r="D29" i="5"/>
  <c r="B29" i="5"/>
  <c r="S28" i="5"/>
  <c r="AE27" i="5"/>
  <c r="S27" i="5"/>
  <c r="Q27" i="5"/>
  <c r="Q26" i="5" s="1"/>
  <c r="F27" i="5"/>
  <c r="E27" i="5"/>
  <c r="D27" i="5"/>
  <c r="B27" i="5"/>
  <c r="T26" i="5"/>
  <c r="R26" i="5"/>
  <c r="P26" i="5"/>
  <c r="F25" i="5"/>
  <c r="E25" i="5"/>
  <c r="D25" i="5"/>
  <c r="B25" i="5"/>
  <c r="T24" i="5"/>
  <c r="T62" i="5" s="1"/>
  <c r="T60" i="5" s="1"/>
  <c r="R24" i="5"/>
  <c r="R62" i="5" s="1"/>
  <c r="Q24" i="5"/>
  <c r="Q62" i="5" s="1"/>
  <c r="P24" i="5"/>
  <c r="P62" i="5" s="1"/>
  <c r="S23" i="5"/>
  <c r="F23" i="5"/>
  <c r="E23" i="5"/>
  <c r="AU21" i="5"/>
  <c r="AG21" i="5"/>
  <c r="AE21" i="5"/>
  <c r="BC20" i="5"/>
  <c r="AZ20" i="5"/>
  <c r="BA20" i="5" s="1"/>
  <c r="BB20" i="5" s="1"/>
  <c r="AV20" i="5"/>
  <c r="AV10" i="5" s="1"/>
  <c r="AV22" i="5" s="1"/>
  <c r="AU20" i="5"/>
  <c r="AP20" i="5"/>
  <c r="AP10" i="5" s="1"/>
  <c r="AN20" i="5"/>
  <c r="AN10" i="5" s="1"/>
  <c r="AH20" i="5"/>
  <c r="AG20" i="5"/>
  <c r="AD20" i="5"/>
  <c r="AC20" i="5"/>
  <c r="AB20" i="5"/>
  <c r="R20" i="5"/>
  <c r="Q20" i="5"/>
  <c r="P20" i="5"/>
  <c r="BC19" i="5"/>
  <c r="BA19" i="5"/>
  <c r="BB19" i="5" s="1"/>
  <c r="AU19" i="5"/>
  <c r="AH19" i="5"/>
  <c r="AO19" i="5" s="1"/>
  <c r="AG19" i="5"/>
  <c r="AB19" i="5"/>
  <c r="S19" i="5" s="1"/>
  <c r="Q19" i="5"/>
  <c r="P19" i="5"/>
  <c r="E19" i="5"/>
  <c r="BC18" i="5"/>
  <c r="AZ18" i="5"/>
  <c r="BA18" i="5" s="1"/>
  <c r="BB18" i="5" s="1"/>
  <c r="AH18" i="5"/>
  <c r="AO18" i="5" s="1"/>
  <c r="AD18" i="5"/>
  <c r="AB18" i="5"/>
  <c r="R18" i="5"/>
  <c r="Q18" i="5"/>
  <c r="P18" i="5"/>
  <c r="E18" i="5"/>
  <c r="E29" i="5" s="1"/>
  <c r="C18" i="5"/>
  <c r="C29" i="5" s="1"/>
  <c r="BC17" i="5"/>
  <c r="AZ17" i="5"/>
  <c r="BA17" i="5" s="1"/>
  <c r="BB17" i="5" s="1"/>
  <c r="AH17" i="5"/>
  <c r="AB17" i="5"/>
  <c r="S17" i="5" s="1"/>
  <c r="Q17" i="5"/>
  <c r="P17" i="5"/>
  <c r="BC16" i="5"/>
  <c r="AZ16" i="5"/>
  <c r="BA16" i="5" s="1"/>
  <c r="BB16" i="5" s="1"/>
  <c r="AM16" i="5"/>
  <c r="AM10" i="5" s="1"/>
  <c r="AM22" i="5" s="1"/>
  <c r="AH16" i="5"/>
  <c r="T16" i="5" s="1"/>
  <c r="AB16" i="5"/>
  <c r="S16" i="5" s="1"/>
  <c r="Q16" i="5"/>
  <c r="P16" i="5"/>
  <c r="C16" i="5"/>
  <c r="BC15" i="5"/>
  <c r="BA15" i="5"/>
  <c r="BB15" i="5" s="1"/>
  <c r="AO15" i="5"/>
  <c r="S15" i="5"/>
  <c r="Q15" i="5"/>
  <c r="Q14" i="5" s="1"/>
  <c r="BC14" i="5"/>
  <c r="BA14" i="5"/>
  <c r="BB14" i="5" s="1"/>
  <c r="AO14" i="5"/>
  <c r="AG14" i="5"/>
  <c r="AE14" i="5"/>
  <c r="AE10" i="5" s="1"/>
  <c r="AD14" i="5"/>
  <c r="S14" i="5" s="1"/>
  <c r="P14" i="5"/>
  <c r="C14" i="5"/>
  <c r="C25" i="5" s="1"/>
  <c r="BC13" i="5"/>
  <c r="AZ13" i="5"/>
  <c r="BA13" i="5" s="1"/>
  <c r="BB13" i="5" s="1"/>
  <c r="AU13" i="5"/>
  <c r="AH13" i="5"/>
  <c r="AO13" i="5" s="1"/>
  <c r="AD13" i="5"/>
  <c r="AC13" i="5"/>
  <c r="Q13" i="5"/>
  <c r="P13" i="5"/>
  <c r="F13" i="5"/>
  <c r="B13" i="5"/>
  <c r="B4" i="5" s="1"/>
  <c r="BC12" i="5"/>
  <c r="AZ12" i="5"/>
  <c r="AH12" i="5"/>
  <c r="AO12" i="5" s="1"/>
  <c r="AD12" i="5"/>
  <c r="AB12" i="5"/>
  <c r="Q12" i="5"/>
  <c r="P12" i="5"/>
  <c r="F12" i="5"/>
  <c r="E12" i="5"/>
  <c r="C12" i="5"/>
  <c r="BC11" i="5"/>
  <c r="BA11" i="5"/>
  <c r="BB11" i="5" s="1"/>
  <c r="AO11" i="5"/>
  <c r="AG11" i="5"/>
  <c r="S11" i="5"/>
  <c r="Q11" i="5"/>
  <c r="P11" i="5"/>
  <c r="E11" i="5"/>
  <c r="AW10" i="5"/>
  <c r="AW22" i="5" s="1"/>
  <c r="AL10" i="5"/>
  <c r="AK10" i="5"/>
  <c r="AJ10" i="5"/>
  <c r="AI10" i="5"/>
  <c r="AF10" i="5"/>
  <c r="AF22" i="5" s="1"/>
  <c r="AA10" i="5"/>
  <c r="AA8" i="5" s="1"/>
  <c r="E9" i="5"/>
  <c r="F8" i="5"/>
  <c r="E8" i="5"/>
  <c r="S7" i="5"/>
  <c r="S4" i="5" s="1"/>
  <c r="C6" i="5"/>
  <c r="E5" i="5"/>
  <c r="T4" i="5"/>
  <c r="Q4" i="5"/>
  <c r="P4" i="5"/>
  <c r="D4" i="5"/>
  <c r="E53" i="5" l="1"/>
  <c r="R22" i="5"/>
  <c r="AG10" i="5"/>
  <c r="AG22" i="5" s="1"/>
  <c r="F4" i="5"/>
  <c r="S13" i="5"/>
  <c r="D22" i="5"/>
  <c r="AA51" i="5"/>
  <c r="F22" i="5"/>
  <c r="T11" i="5"/>
  <c r="S26" i="5"/>
  <c r="S35" i="5" s="1"/>
  <c r="AD10" i="5"/>
  <c r="T18" i="5"/>
  <c r="Q10" i="5"/>
  <c r="Q8" i="5" s="1"/>
  <c r="Q57" i="5" s="1"/>
  <c r="Q64" i="5" s="1"/>
  <c r="R35" i="5"/>
  <c r="E4" i="5"/>
  <c r="AU10" i="5"/>
  <c r="AU22" i="5" s="1"/>
  <c r="T12" i="5"/>
  <c r="S20" i="5"/>
  <c r="T53" i="5"/>
  <c r="AE60" i="5" s="1"/>
  <c r="AF60" i="5" s="1"/>
  <c r="Q46" i="5"/>
  <c r="T14" i="5"/>
  <c r="S18" i="5"/>
  <c r="Q22" i="5"/>
  <c r="P60" i="5"/>
  <c r="T32" i="5"/>
  <c r="T35" i="5" s="1"/>
  <c r="T36" i="5" s="1"/>
  <c r="S22" i="5"/>
  <c r="R10" i="5"/>
  <c r="R8" i="5" s="1"/>
  <c r="R57" i="5" s="1"/>
  <c r="R64" i="5" s="1"/>
  <c r="Q60" i="5"/>
  <c r="AE53" i="5"/>
  <c r="T22" i="5"/>
  <c r="C22" i="5"/>
  <c r="E22" i="5"/>
  <c r="P10" i="5"/>
  <c r="P8" i="5" s="1"/>
  <c r="P57" i="5" s="1"/>
  <c r="P64" i="5" s="1"/>
  <c r="S12" i="5"/>
  <c r="AO20" i="5"/>
  <c r="S61" i="5"/>
  <c r="AA60" i="5" s="1"/>
  <c r="P46" i="5"/>
  <c r="AB10" i="5"/>
  <c r="P35" i="5"/>
  <c r="R56" i="5"/>
  <c r="D62" i="5" s="1"/>
  <c r="AC10" i="5"/>
  <c r="P22" i="5"/>
  <c r="Q35" i="5"/>
  <c r="D51" i="5"/>
  <c r="Q56" i="5"/>
  <c r="P56" i="5"/>
  <c r="R21" i="5"/>
  <c r="AH10" i="5"/>
  <c r="AH22" i="5" s="1"/>
  <c r="BC10" i="5"/>
  <c r="BD10" i="5" s="1"/>
  <c r="T13" i="5"/>
  <c r="C27" i="5"/>
  <c r="C13" i="5"/>
  <c r="C4" i="5" s="1"/>
  <c r="AO16" i="5"/>
  <c r="AO17" i="5"/>
  <c r="T17" i="5"/>
  <c r="R60" i="5"/>
  <c r="B51" i="5"/>
  <c r="T56" i="5"/>
  <c r="F62" i="5" s="1"/>
  <c r="AE22" i="5"/>
  <c r="AZ21" i="5"/>
  <c r="BA12" i="5"/>
  <c r="BB12" i="5" s="1"/>
  <c r="BB21" i="5" s="1"/>
  <c r="T19" i="5"/>
  <c r="T20" i="5"/>
  <c r="AA27" i="5"/>
  <c r="R46" i="5"/>
  <c r="H66" i="5"/>
  <c r="Q53" i="5"/>
  <c r="F51" i="5" l="1"/>
  <c r="E51" i="5"/>
  <c r="Q21" i="5"/>
  <c r="B63" i="5"/>
  <c r="S56" i="5"/>
  <c r="E62" i="5" s="1"/>
  <c r="AQ10" i="5"/>
  <c r="BA21" i="5"/>
  <c r="R58" i="5"/>
  <c r="S60" i="5"/>
  <c r="Q58" i="5"/>
  <c r="S10" i="5"/>
  <c r="S8" i="5" s="1"/>
  <c r="S57" i="5" s="1"/>
  <c r="S64" i="5" s="1"/>
  <c r="AX10" i="5"/>
  <c r="AX22" i="5" s="1"/>
  <c r="D63" i="5"/>
  <c r="C63" i="5"/>
  <c r="P58" i="5"/>
  <c r="P21" i="5"/>
  <c r="B62" i="5"/>
  <c r="C51" i="5"/>
  <c r="C62" i="5"/>
  <c r="T10" i="5"/>
  <c r="S58" i="5" l="1"/>
  <c r="S21" i="5"/>
  <c r="E63" i="5"/>
  <c r="BC56" i="5"/>
  <c r="BD56" i="5" s="1"/>
  <c r="AR10" i="5"/>
  <c r="AS10" i="5" s="1"/>
  <c r="T8" i="5"/>
  <c r="J64" i="5" l="1"/>
  <c r="T57" i="5"/>
  <c r="T21" i="5"/>
  <c r="T64" i="5" l="1"/>
  <c r="AG56" i="5"/>
  <c r="F63" i="5"/>
  <c r="T58" i="5"/>
  <c r="Y20" i="1" l="1"/>
  <c r="Y12" i="1"/>
  <c r="K52" i="1"/>
  <c r="W20" i="1"/>
  <c r="V20" i="1"/>
  <c r="Y18" i="1" l="1"/>
  <c r="Z24" i="1"/>
  <c r="Z25" i="1"/>
  <c r="Z64" i="1" s="1"/>
  <c r="Y16" i="1"/>
  <c r="Y19" i="1"/>
  <c r="K47" i="1"/>
  <c r="L52" i="1"/>
  <c r="K34" i="1"/>
  <c r="Z63" i="1" l="1"/>
  <c r="K36" i="1"/>
  <c r="K28" i="1"/>
  <c r="K24" i="1"/>
  <c r="K26" i="1"/>
  <c r="K45" i="1" l="1"/>
  <c r="K38" i="1"/>
  <c r="K30" i="1"/>
  <c r="K23" i="1"/>
  <c r="Y17" i="1"/>
  <c r="Y15" i="1"/>
  <c r="Y14" i="1"/>
  <c r="Y13" i="1"/>
  <c r="Y11" i="1"/>
  <c r="Z55" i="1"/>
  <c r="Z56" i="1"/>
  <c r="Z60" i="1"/>
  <c r="Y62" i="1"/>
  <c r="Y63" i="1"/>
  <c r="Y64" i="1"/>
  <c r="Y50" i="1"/>
  <c r="Y49" i="1"/>
  <c r="Y48" i="1"/>
  <c r="Y53" i="1"/>
  <c r="Y54" i="1" s="1"/>
  <c r="Z54" i="1" s="1"/>
  <c r="K7" i="1"/>
  <c r="K11" i="1"/>
  <c r="K10" i="1"/>
  <c r="K5" i="1"/>
  <c r="Y61" i="1" l="1"/>
  <c r="Y10" i="1"/>
  <c r="Y8" i="1" s="1"/>
  <c r="Y58" i="1" s="1"/>
  <c r="Y65" i="1" l="1"/>
  <c r="Y4" i="1" l="1"/>
  <c r="Y57" i="1" s="1"/>
  <c r="Y59" i="1" s="1"/>
  <c r="Z6" i="1"/>
  <c r="Z7" i="1"/>
  <c r="Z9" i="1"/>
  <c r="Z23" i="1"/>
  <c r="Z22" i="1" s="1"/>
  <c r="Z27" i="1"/>
  <c r="Z28" i="1"/>
  <c r="Z29" i="1"/>
  <c r="Z30" i="1"/>
  <c r="Z36" i="1"/>
  <c r="Z39" i="1"/>
  <c r="Z40" i="1"/>
  <c r="Z43" i="1"/>
  <c r="Z44" i="1"/>
  <c r="Z47" i="1"/>
  <c r="Z50" i="1"/>
  <c r="Z51" i="1"/>
  <c r="Z52" i="1"/>
  <c r="Z5" i="1"/>
  <c r="Z4" i="1"/>
  <c r="K53" i="1"/>
  <c r="L53" i="1"/>
  <c r="L24" i="1"/>
  <c r="L26" i="1"/>
  <c r="L28" i="1"/>
  <c r="L30" i="1"/>
  <c r="L31" i="1"/>
  <c r="L32" i="1"/>
  <c r="L33" i="1"/>
  <c r="L34" i="1"/>
  <c r="L35" i="1"/>
  <c r="L37" i="1"/>
  <c r="L39" i="1"/>
  <c r="L40" i="1"/>
  <c r="L41" i="1"/>
  <c r="L42" i="1"/>
  <c r="L43" i="1"/>
  <c r="L44" i="1"/>
  <c r="L45" i="1"/>
  <c r="L46" i="1"/>
  <c r="L48" i="1"/>
  <c r="L23" i="1"/>
  <c r="K25" i="1"/>
  <c r="K22" i="1"/>
  <c r="K65" i="1" s="1"/>
  <c r="L13" i="1"/>
  <c r="L14" i="1"/>
  <c r="L15" i="1"/>
  <c r="L16" i="1"/>
  <c r="L17" i="1"/>
  <c r="L18" i="1"/>
  <c r="L19" i="1"/>
  <c r="L20" i="1"/>
  <c r="L21" i="1"/>
  <c r="L6" i="1"/>
  <c r="L7" i="1"/>
  <c r="L8" i="1"/>
  <c r="L9" i="1"/>
  <c r="L10" i="1"/>
  <c r="L11" i="1"/>
  <c r="L5" i="1"/>
  <c r="K4" i="1"/>
  <c r="K64" i="1" s="1"/>
  <c r="K51" i="1" l="1"/>
  <c r="X18" i="1"/>
  <c r="Z18" i="1" s="1"/>
  <c r="BC18" i="1"/>
  <c r="BC20" i="1"/>
  <c r="X20" i="1" s="1"/>
  <c r="Z20" i="1" s="1"/>
  <c r="BC17" i="1" l="1"/>
  <c r="X17" i="1" s="1"/>
  <c r="Z17" i="1" s="1"/>
  <c r="BC12" i="1"/>
  <c r="X12" i="1" s="1"/>
  <c r="Z12" i="1" s="1"/>
  <c r="BC19" i="1" l="1"/>
  <c r="X19" i="1" s="1"/>
  <c r="Z19" i="1" s="1"/>
  <c r="BC16" i="1"/>
  <c r="X16" i="1" s="1"/>
  <c r="Z16" i="1" s="1"/>
  <c r="BC15" i="1"/>
  <c r="X15" i="1" s="1"/>
  <c r="Z15" i="1" s="1"/>
  <c r="BC14" i="1"/>
  <c r="X14" i="1" s="1"/>
  <c r="Z14" i="1" s="1"/>
  <c r="BC13" i="1"/>
  <c r="X13" i="1" s="1"/>
  <c r="Z13" i="1" s="1"/>
  <c r="BC11" i="1"/>
  <c r="X11" i="1" s="1"/>
  <c r="Z11" i="1" s="1"/>
  <c r="BC10" i="1" l="1"/>
  <c r="X10" i="1"/>
  <c r="Z10" i="1" s="1"/>
  <c r="BD10" i="1" l="1"/>
  <c r="X8" i="1"/>
  <c r="Z8" i="1" s="1"/>
  <c r="X53" i="1"/>
  <c r="Z53" i="1" s="1"/>
  <c r="X42" i="1"/>
  <c r="Z42" i="1" s="1"/>
  <c r="X62" i="1"/>
  <c r="Z62" i="1" s="1"/>
  <c r="Z61" i="1" s="1"/>
  <c r="X33" i="1"/>
  <c r="Z33" i="1" s="1"/>
  <c r="X32" i="1"/>
  <c r="Z32" i="1" s="1"/>
  <c r="X4" i="1"/>
  <c r="X21" i="1" s="1"/>
  <c r="X38" i="1"/>
  <c r="Z38" i="1" s="1"/>
  <c r="J36" i="1"/>
  <c r="L36" i="1" s="1"/>
  <c r="J47" i="1"/>
  <c r="L47" i="1" s="1"/>
  <c r="J38" i="1"/>
  <c r="L38" i="1" s="1"/>
  <c r="J12" i="1"/>
  <c r="L12" i="1" s="1"/>
  <c r="L4" i="1" s="1"/>
  <c r="X64" i="1"/>
  <c r="X49" i="1"/>
  <c r="Z49" i="1" s="1"/>
  <c r="X46" i="1"/>
  <c r="Z46" i="1" s="1"/>
  <c r="X41" i="1"/>
  <c r="Z41" i="1" s="1"/>
  <c r="X37" i="1"/>
  <c r="Z37" i="1" s="1"/>
  <c r="X35" i="1"/>
  <c r="Z35" i="1" s="1"/>
  <c r="X26" i="1"/>
  <c r="Z26" i="1" s="1"/>
  <c r="X24" i="1"/>
  <c r="J53" i="1"/>
  <c r="J29" i="1"/>
  <c r="L29" i="1" s="1"/>
  <c r="J27" i="1"/>
  <c r="L27" i="1" s="1"/>
  <c r="J25" i="1"/>
  <c r="L25" i="1" s="1"/>
  <c r="W64" i="1"/>
  <c r="U64" i="1"/>
  <c r="T64" i="1"/>
  <c r="S64" i="1"/>
  <c r="R64" i="1"/>
  <c r="Q64" i="1"/>
  <c r="P64" i="1"/>
  <c r="O64" i="1"/>
  <c r="W62" i="1"/>
  <c r="V62" i="1"/>
  <c r="U62" i="1"/>
  <c r="T62" i="1"/>
  <c r="R62" i="1"/>
  <c r="Q62" i="1"/>
  <c r="P62" i="1"/>
  <c r="AE58" i="1"/>
  <c r="T56" i="1"/>
  <c r="S56" i="1"/>
  <c r="R56" i="1"/>
  <c r="E55" i="1"/>
  <c r="S24" i="1" s="1"/>
  <c r="S63" i="1" s="1"/>
  <c r="W54" i="1"/>
  <c r="V54" i="1"/>
  <c r="U54" i="1"/>
  <c r="T54" i="1"/>
  <c r="AF54" i="1" s="1"/>
  <c r="S54" i="1"/>
  <c r="AA52" i="1" s="1"/>
  <c r="R54" i="1"/>
  <c r="P54" i="1"/>
  <c r="G54" i="1"/>
  <c r="F54" i="1"/>
  <c r="F53" i="1" s="1"/>
  <c r="E54" i="1"/>
  <c r="E53" i="1" s="1"/>
  <c r="D54" i="1"/>
  <c r="D53" i="1" s="1"/>
  <c r="C54" i="1"/>
  <c r="C53" i="1" s="1"/>
  <c r="B54" i="1"/>
  <c r="B53" i="1" s="1"/>
  <c r="I53" i="1"/>
  <c r="H53" i="1"/>
  <c r="G53" i="1"/>
  <c r="T50" i="1"/>
  <c r="S50" i="1"/>
  <c r="Q50" i="1"/>
  <c r="Q49" i="1" s="1"/>
  <c r="Q52" i="1" s="1"/>
  <c r="W49" i="1"/>
  <c r="V49" i="1"/>
  <c r="U49" i="1"/>
  <c r="T49" i="1"/>
  <c r="S49" i="1"/>
  <c r="R49" i="1"/>
  <c r="P49" i="1"/>
  <c r="T48" i="1"/>
  <c r="T52" i="1" s="1"/>
  <c r="AE62" i="1" s="1"/>
  <c r="S48" i="1"/>
  <c r="S47" i="1"/>
  <c r="I47" i="1"/>
  <c r="I22" i="1" s="1"/>
  <c r="H47" i="1"/>
  <c r="G47" i="1"/>
  <c r="F47" i="1"/>
  <c r="E47" i="1"/>
  <c r="D47" i="1"/>
  <c r="C47" i="1"/>
  <c r="W46" i="1"/>
  <c r="V46" i="1"/>
  <c r="U46" i="1"/>
  <c r="S46" i="1"/>
  <c r="R46" i="1"/>
  <c r="Q46" i="1"/>
  <c r="P46" i="1"/>
  <c r="G45" i="1"/>
  <c r="F45" i="1"/>
  <c r="E45" i="1"/>
  <c r="D45" i="1"/>
  <c r="C45" i="1"/>
  <c r="W44" i="1"/>
  <c r="W42" i="1"/>
  <c r="V41" i="1"/>
  <c r="U41" i="1"/>
  <c r="T41" i="1"/>
  <c r="S41" i="1"/>
  <c r="R41" i="1"/>
  <c r="Q41" i="1"/>
  <c r="P41" i="1"/>
  <c r="B41" i="1"/>
  <c r="T38" i="1"/>
  <c r="S38" i="1"/>
  <c r="Q38" i="1"/>
  <c r="Q37" i="1" s="1"/>
  <c r="Q45" i="1" s="1"/>
  <c r="G38" i="1"/>
  <c r="F38" i="1"/>
  <c r="W37" i="1"/>
  <c r="V37" i="1"/>
  <c r="U37" i="1"/>
  <c r="U45" i="1" s="1"/>
  <c r="T37" i="1"/>
  <c r="T45" i="1" s="1"/>
  <c r="S37" i="1"/>
  <c r="S45" i="1" s="1"/>
  <c r="R37" i="1"/>
  <c r="R45" i="1" s="1"/>
  <c r="P37" i="1"/>
  <c r="S36" i="1"/>
  <c r="W35" i="1"/>
  <c r="V35" i="1"/>
  <c r="U35" i="1"/>
  <c r="S35" i="1"/>
  <c r="R35" i="1"/>
  <c r="Q35" i="1"/>
  <c r="P35" i="1"/>
  <c r="B35" i="1"/>
  <c r="T33" i="1"/>
  <c r="AE32" i="1" s="1"/>
  <c r="W32" i="1"/>
  <c r="W31" i="1" s="1"/>
  <c r="V32" i="1"/>
  <c r="V31" i="1" s="1"/>
  <c r="T32" i="1"/>
  <c r="AE31" i="1"/>
  <c r="U31" i="1"/>
  <c r="T31" i="1"/>
  <c r="T34" i="1" s="1"/>
  <c r="T35" i="1" s="1"/>
  <c r="S31" i="1"/>
  <c r="R31" i="1"/>
  <c r="R34" i="1" s="1"/>
  <c r="Q31" i="1"/>
  <c r="P31" i="1"/>
  <c r="I29" i="1"/>
  <c r="H29" i="1"/>
  <c r="F29" i="1"/>
  <c r="D29" i="1"/>
  <c r="B29" i="1"/>
  <c r="U28" i="1"/>
  <c r="S28" i="1"/>
  <c r="AE27" i="1"/>
  <c r="S27" i="1"/>
  <c r="S26" i="1" s="1"/>
  <c r="S34" i="1" s="1"/>
  <c r="Q27" i="1"/>
  <c r="I27" i="1"/>
  <c r="H27" i="1"/>
  <c r="G27" i="1"/>
  <c r="F27" i="1"/>
  <c r="E27" i="1"/>
  <c r="D27" i="1"/>
  <c r="B27" i="1"/>
  <c r="W26" i="1"/>
  <c r="V26" i="1"/>
  <c r="U26" i="1"/>
  <c r="U34" i="1" s="1"/>
  <c r="T26" i="1"/>
  <c r="R26" i="1"/>
  <c r="Q26" i="1"/>
  <c r="Q34" i="1" s="1"/>
  <c r="P26" i="1"/>
  <c r="V25" i="1"/>
  <c r="V64" i="1" s="1"/>
  <c r="I25" i="1"/>
  <c r="H25" i="1"/>
  <c r="G25" i="1"/>
  <c r="F25" i="1"/>
  <c r="E25" i="1"/>
  <c r="D25" i="1"/>
  <c r="B25" i="1"/>
  <c r="W24" i="1"/>
  <c r="W63" i="1" s="1"/>
  <c r="W61" i="1" s="1"/>
  <c r="V24" i="1"/>
  <c r="U24" i="1"/>
  <c r="U63" i="1" s="1"/>
  <c r="U61" i="1" s="1"/>
  <c r="T24" i="1"/>
  <c r="T22" i="1" s="1"/>
  <c r="R24" i="1"/>
  <c r="R22" i="1" s="1"/>
  <c r="Q24" i="1"/>
  <c r="Q63" i="1" s="1"/>
  <c r="Q61" i="1" s="1"/>
  <c r="P24" i="1"/>
  <c r="P22" i="1" s="1"/>
  <c r="S23" i="1"/>
  <c r="S62" i="1" s="1"/>
  <c r="AA62" i="1" s="1"/>
  <c r="G23" i="1"/>
  <c r="G22" i="1" s="1"/>
  <c r="F23" i="1"/>
  <c r="E23" i="1"/>
  <c r="E22" i="1" s="1"/>
  <c r="W22" i="1"/>
  <c r="S22" i="1"/>
  <c r="H22" i="1"/>
  <c r="D22" i="1"/>
  <c r="C22" i="1"/>
  <c r="B22" i="1"/>
  <c r="AU21" i="1"/>
  <c r="AG21" i="1"/>
  <c r="AE21" i="1"/>
  <c r="AZ20" i="1"/>
  <c r="BA20" i="1" s="1"/>
  <c r="BB20" i="1" s="1"/>
  <c r="AV20" i="1"/>
  <c r="AU20" i="1"/>
  <c r="AP20" i="1"/>
  <c r="AN20" i="1"/>
  <c r="AH20" i="1"/>
  <c r="AG20" i="1"/>
  <c r="AD20" i="1"/>
  <c r="AC20" i="1"/>
  <c r="AB20" i="1"/>
  <c r="V10" i="1"/>
  <c r="V8" i="1" s="1"/>
  <c r="R20" i="1"/>
  <c r="Q20" i="1"/>
  <c r="P20" i="1"/>
  <c r="BA19" i="1"/>
  <c r="AU19" i="1"/>
  <c r="AH19" i="1"/>
  <c r="AO19" i="1" s="1"/>
  <c r="AG19" i="1"/>
  <c r="T19" i="1" s="1"/>
  <c r="AB19" i="1"/>
  <c r="S19" i="1" s="1"/>
  <c r="U19" i="1"/>
  <c r="BB19" i="1" s="1"/>
  <c r="Q19" i="1"/>
  <c r="P19" i="1"/>
  <c r="G19" i="1"/>
  <c r="E19" i="1"/>
  <c r="AZ18" i="1"/>
  <c r="BA18" i="1" s="1"/>
  <c r="BB18" i="1" s="1"/>
  <c r="AH18" i="1"/>
  <c r="AD18" i="1"/>
  <c r="S18" i="1" s="1"/>
  <c r="AB18" i="1"/>
  <c r="R18" i="1"/>
  <c r="Q18" i="1"/>
  <c r="P18" i="1"/>
  <c r="E18" i="1"/>
  <c r="E29" i="1" s="1"/>
  <c r="C18" i="1"/>
  <c r="C29" i="1" s="1"/>
  <c r="BB17" i="1"/>
  <c r="AZ17" i="1"/>
  <c r="BA17" i="1" s="1"/>
  <c r="AH17" i="1"/>
  <c r="AO17" i="1" s="1"/>
  <c r="AB17" i="1"/>
  <c r="T17" i="1"/>
  <c r="S17" i="1"/>
  <c r="Q17" i="1"/>
  <c r="P17" i="1"/>
  <c r="AZ16" i="1"/>
  <c r="BA16" i="1" s="1"/>
  <c r="BB16" i="1" s="1"/>
  <c r="AM16" i="1"/>
  <c r="AM10" i="1" s="1"/>
  <c r="AM22" i="1" s="1"/>
  <c r="AH16" i="1"/>
  <c r="AO16" i="1" s="1"/>
  <c r="AB16" i="1"/>
  <c r="S16" i="1" s="1"/>
  <c r="Q16" i="1"/>
  <c r="P16" i="1"/>
  <c r="C16" i="1"/>
  <c r="C27" i="1" s="1"/>
  <c r="BA15" i="1"/>
  <c r="BB15" i="1" s="1"/>
  <c r="AO15" i="1"/>
  <c r="S15" i="1"/>
  <c r="Q15" i="1"/>
  <c r="Q14" i="1" s="1"/>
  <c r="BA14" i="1"/>
  <c r="BB14" i="1" s="1"/>
  <c r="AO14" i="1"/>
  <c r="AG14" i="1"/>
  <c r="T14" i="1" s="1"/>
  <c r="AE14" i="1"/>
  <c r="AD14" i="1"/>
  <c r="S14" i="1"/>
  <c r="P14" i="1"/>
  <c r="C14" i="1"/>
  <c r="C25" i="1" s="1"/>
  <c r="AZ13" i="1"/>
  <c r="BA13" i="1" s="1"/>
  <c r="BB13" i="1" s="1"/>
  <c r="AU13" i="1"/>
  <c r="AH13" i="1"/>
  <c r="AO13" i="1" s="1"/>
  <c r="AD13" i="1"/>
  <c r="S13" i="1" s="1"/>
  <c r="AC13" i="1"/>
  <c r="T13" i="1"/>
  <c r="Q13" i="1"/>
  <c r="P13" i="1"/>
  <c r="F13" i="1"/>
  <c r="C13" i="1"/>
  <c r="B13" i="1"/>
  <c r="BA12" i="1"/>
  <c r="BB12" i="1" s="1"/>
  <c r="AZ12" i="1"/>
  <c r="AH12" i="1"/>
  <c r="AO12" i="1" s="1"/>
  <c r="AD12" i="1"/>
  <c r="S12" i="1" s="1"/>
  <c r="AB12" i="1"/>
  <c r="T12" i="1"/>
  <c r="Q12" i="1"/>
  <c r="P12" i="1"/>
  <c r="H12" i="1"/>
  <c r="H4" i="1" s="1"/>
  <c r="G12" i="1"/>
  <c r="G4" i="1" s="1"/>
  <c r="F12" i="1"/>
  <c r="F4" i="1" s="1"/>
  <c r="E12" i="1"/>
  <c r="E4" i="1" s="1"/>
  <c r="E51" i="1" s="1"/>
  <c r="C12" i="1"/>
  <c r="BA11" i="1"/>
  <c r="BB11" i="1" s="1"/>
  <c r="AO11" i="1"/>
  <c r="AG11" i="1"/>
  <c r="T11" i="1" s="1"/>
  <c r="S11" i="1"/>
  <c r="Q11" i="1"/>
  <c r="P11" i="1"/>
  <c r="E11" i="1"/>
  <c r="AW10" i="1"/>
  <c r="AW22" i="1" s="1"/>
  <c r="AV10" i="1"/>
  <c r="AV22" i="1" s="1"/>
  <c r="AP10" i="1"/>
  <c r="AN10" i="1"/>
  <c r="AL10" i="1"/>
  <c r="AK10" i="1"/>
  <c r="AJ10" i="1"/>
  <c r="AI10" i="1"/>
  <c r="AF10" i="1"/>
  <c r="AF22" i="1" s="1"/>
  <c r="AE10" i="1"/>
  <c r="AE22" i="1" s="1"/>
  <c r="AC10" i="1"/>
  <c r="AB10" i="1"/>
  <c r="AA10" i="1"/>
  <c r="W10" i="1"/>
  <c r="W8" i="1" s="1"/>
  <c r="U10" i="1"/>
  <c r="U8" i="1" s="1"/>
  <c r="U58" i="1" s="1"/>
  <c r="R10" i="1"/>
  <c r="G9" i="1"/>
  <c r="E9" i="1"/>
  <c r="AA8" i="1"/>
  <c r="R8" i="1"/>
  <c r="G8" i="1"/>
  <c r="F8" i="1"/>
  <c r="E8" i="1"/>
  <c r="S7" i="1"/>
  <c r="S4" i="1" s="1"/>
  <c r="C6" i="1"/>
  <c r="E5" i="1"/>
  <c r="W4" i="1"/>
  <c r="W57" i="1" s="1"/>
  <c r="V4" i="1"/>
  <c r="U4" i="1"/>
  <c r="U57" i="1" s="1"/>
  <c r="U59" i="1" s="1"/>
  <c r="T4" i="1"/>
  <c r="Q4" i="1"/>
  <c r="Q57" i="1" s="1"/>
  <c r="P4" i="1"/>
  <c r="I4" i="1"/>
  <c r="I64" i="1" s="1"/>
  <c r="D4" i="1"/>
  <c r="D51" i="1" s="1"/>
  <c r="C4" i="1"/>
  <c r="C64" i="1" s="1"/>
  <c r="B4" i="1"/>
  <c r="B51" i="1" s="1"/>
  <c r="V34" i="1" l="1"/>
  <c r="AH10" i="1"/>
  <c r="AH22" i="1" s="1"/>
  <c r="T20" i="1"/>
  <c r="W41" i="1"/>
  <c r="S10" i="1"/>
  <c r="S8" i="1" s="1"/>
  <c r="S58" i="1" s="1"/>
  <c r="S65" i="1" s="1"/>
  <c r="V58" i="1"/>
  <c r="V65" i="1" s="1"/>
  <c r="W34" i="1"/>
  <c r="Q10" i="1"/>
  <c r="Q8" i="1" s="1"/>
  <c r="Q58" i="1" s="1"/>
  <c r="Q65" i="1" s="1"/>
  <c r="S20" i="1"/>
  <c r="AF62" i="1"/>
  <c r="X63" i="1"/>
  <c r="X61" i="1" s="1"/>
  <c r="X22" i="1"/>
  <c r="L22" i="1"/>
  <c r="AD10" i="1"/>
  <c r="AU10" i="1"/>
  <c r="U22" i="1"/>
  <c r="P34" i="1"/>
  <c r="V45" i="1"/>
  <c r="AE53" i="1"/>
  <c r="J4" i="1"/>
  <c r="P10" i="1"/>
  <c r="P8" i="1" s="1"/>
  <c r="P58" i="1" s="1"/>
  <c r="P65" i="1" s="1"/>
  <c r="AZ21" i="1"/>
  <c r="P45" i="1"/>
  <c r="AA51" i="1"/>
  <c r="X31" i="1"/>
  <c r="Z21" i="1"/>
  <c r="W58" i="1"/>
  <c r="W65" i="1" s="1"/>
  <c r="T16" i="1"/>
  <c r="T10" i="1" s="1"/>
  <c r="AA27" i="1"/>
  <c r="F22" i="1"/>
  <c r="L51" i="1"/>
  <c r="W59" i="1"/>
  <c r="X48" i="1"/>
  <c r="Z48" i="1" s="1"/>
  <c r="G64" i="1"/>
  <c r="W45" i="1"/>
  <c r="S61" i="1"/>
  <c r="R57" i="1"/>
  <c r="X45" i="1"/>
  <c r="Z45" i="1" s="1"/>
  <c r="J22" i="1"/>
  <c r="I65" i="1"/>
  <c r="Q22" i="1"/>
  <c r="U65" i="1"/>
  <c r="U66" i="1"/>
  <c r="F51" i="1"/>
  <c r="AU22" i="1"/>
  <c r="AX10" i="1"/>
  <c r="AX22" i="1" s="1"/>
  <c r="S57" i="1"/>
  <c r="S59" i="1" s="1"/>
  <c r="BB21" i="1"/>
  <c r="G65" i="1"/>
  <c r="H51" i="1"/>
  <c r="R58" i="1"/>
  <c r="R65" i="1" s="1"/>
  <c r="R21" i="1"/>
  <c r="AG10" i="1"/>
  <c r="AG22" i="1" s="1"/>
  <c r="AO18" i="1"/>
  <c r="T18" i="1"/>
  <c r="W21" i="1"/>
  <c r="V22" i="1"/>
  <c r="I51" i="1"/>
  <c r="P57" i="1"/>
  <c r="P59" i="1" s="1"/>
  <c r="T57" i="1"/>
  <c r="P63" i="1"/>
  <c r="P61" i="1" s="1"/>
  <c r="T63" i="1"/>
  <c r="T61" i="1" s="1"/>
  <c r="V21" i="1"/>
  <c r="AQ10" i="1"/>
  <c r="BA21" i="1"/>
  <c r="AO20" i="1"/>
  <c r="Q21" i="1"/>
  <c r="U21" i="1"/>
  <c r="C65" i="1"/>
  <c r="E65" i="1"/>
  <c r="H65" i="1"/>
  <c r="H68" i="1" s="1"/>
  <c r="C51" i="1"/>
  <c r="G51" i="1"/>
  <c r="V57" i="1"/>
  <c r="V59" i="1" s="1"/>
  <c r="R63" i="1"/>
  <c r="R61" i="1" s="1"/>
  <c r="V63" i="1"/>
  <c r="V61" i="1" s="1"/>
  <c r="D64" i="1"/>
  <c r="B64" i="1" l="1"/>
  <c r="D65" i="1"/>
  <c r="X57" i="1"/>
  <c r="X34" i="1"/>
  <c r="Z34" i="1" s="1"/>
  <c r="Z31" i="1"/>
  <c r="Z58" i="1" s="1"/>
  <c r="L65" i="1"/>
  <c r="Q59" i="1"/>
  <c r="P21" i="1"/>
  <c r="B65" i="1"/>
  <c r="S21" i="1"/>
  <c r="X58" i="1"/>
  <c r="J64" i="1"/>
  <c r="J51" i="1"/>
  <c r="R59" i="1"/>
  <c r="E64" i="1"/>
  <c r="AG57" i="1"/>
  <c r="F64" i="1"/>
  <c r="H64" i="1"/>
  <c r="AR10" i="1"/>
  <c r="AS10" i="1" s="1"/>
  <c r="T8" i="1"/>
  <c r="BC58" i="1" l="1"/>
  <c r="BD58" i="1" s="1"/>
  <c r="X65" i="1"/>
  <c r="Z65" i="1" s="1"/>
  <c r="X59" i="1"/>
  <c r="Z57" i="1"/>
  <c r="L64" i="1" s="1"/>
  <c r="L66" i="1" s="1"/>
  <c r="Z59" i="1"/>
  <c r="J65" i="1"/>
  <c r="J66" i="1" s="1"/>
  <c r="T58" i="1"/>
  <c r="T21" i="1"/>
  <c r="T65" i="1" l="1"/>
  <c r="AG58" i="1"/>
  <c r="F65" i="1"/>
  <c r="T59" i="1"/>
</calcChain>
</file>

<file path=xl/comments1.xml><?xml version="1.0" encoding="utf-8"?>
<comments xmlns="http://schemas.openxmlformats.org/spreadsheetml/2006/main">
  <authors>
    <author>repik</author>
  </authors>
  <commentList>
    <comment ref="D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F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repik</author>
  </authors>
  <commentList>
    <comment ref="D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  <comment ref="F38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 + 580600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<sst xmlns="http://schemas.openxmlformats.org/spreadsheetml/2006/main" count="328" uniqueCount="147">
  <si>
    <t>Загальний фонд</t>
  </si>
  <si>
    <t>Спеціальний фонд</t>
  </si>
  <si>
    <t>тис.грн</t>
  </si>
  <si>
    <t>Показники</t>
  </si>
  <si>
    <t>2015 (ф)</t>
  </si>
  <si>
    <t>2016 (ф)</t>
  </si>
  <si>
    <t>2017 (ф)</t>
  </si>
  <si>
    <t>2018 (ф)</t>
  </si>
  <si>
    <t>2019 (ф)</t>
  </si>
  <si>
    <t>2020 (ф)</t>
  </si>
  <si>
    <t>2021                              (рішення)</t>
  </si>
  <si>
    <t>2021                              (рішення 07.10.2021)</t>
  </si>
  <si>
    <t>2019 факт</t>
  </si>
  <si>
    <t>ДОХОДИ</t>
  </si>
  <si>
    <t>1.</t>
  </si>
  <si>
    <t>Бюджет розвитку (надходження)</t>
  </si>
  <si>
    <t>Податок на доходи фізичних осіб</t>
  </si>
  <si>
    <t xml:space="preserve">   надходження від відчуження майна</t>
  </si>
  <si>
    <t>КВ 7300</t>
  </si>
  <si>
    <t>разом 7300</t>
  </si>
  <si>
    <t>Податок на прибуток підприємств</t>
  </si>
  <si>
    <t xml:space="preserve">   надходження від продажу землі</t>
  </si>
  <si>
    <t>субв соц-економ</t>
  </si>
  <si>
    <t>Податок на майно, в т.ч.</t>
  </si>
  <si>
    <t xml:space="preserve">   пайові кошти інвесторів  (забудовників)</t>
  </si>
  <si>
    <t>2020 факт</t>
  </si>
  <si>
    <t>будівництво</t>
  </si>
  <si>
    <t>ВСЬОГО 2020</t>
  </si>
  <si>
    <t xml:space="preserve">    плата за землю</t>
  </si>
  <si>
    <t>Бюджет розвитку (витрати)</t>
  </si>
  <si>
    <t>2018 рік</t>
  </si>
  <si>
    <t>2019 рік</t>
  </si>
  <si>
    <t xml:space="preserve">   транспортний податок</t>
  </si>
  <si>
    <t>Внески до статутних капіталів</t>
  </si>
  <si>
    <t>кв</t>
  </si>
  <si>
    <t>передача</t>
  </si>
  <si>
    <t>бр</t>
  </si>
  <si>
    <t>субвен</t>
  </si>
  <si>
    <t>субвенції передача</t>
  </si>
  <si>
    <t>соц-економ суб</t>
  </si>
  <si>
    <t>передача ЗФ</t>
  </si>
  <si>
    <t>передача ЗФ КВ</t>
  </si>
  <si>
    <t>БР</t>
  </si>
  <si>
    <t xml:space="preserve">Акцизний податок </t>
  </si>
  <si>
    <t>Капітальні видатки, в т. ч.</t>
  </si>
  <si>
    <t>Єдиний податок</t>
  </si>
  <si>
    <t xml:space="preserve">   Державне управління</t>
  </si>
  <si>
    <t>Інші</t>
  </si>
  <si>
    <t xml:space="preserve">   Освіта</t>
  </si>
  <si>
    <t>Cубвенції з державного бюджету, в т.ч.</t>
  </si>
  <si>
    <t xml:space="preserve">   Охорона здоров'я</t>
  </si>
  <si>
    <t xml:space="preserve">  освітня субвенція</t>
  </si>
  <si>
    <t xml:space="preserve">   Соціальний захист та соціальне забезпечення</t>
  </si>
  <si>
    <t xml:space="preserve">  субвенція на підготовку робітничих кадрів</t>
  </si>
  <si>
    <t xml:space="preserve">   Молодіжні програми</t>
  </si>
  <si>
    <t xml:space="preserve">  медична субвенція</t>
  </si>
  <si>
    <t xml:space="preserve">   Культура і мистецтво</t>
  </si>
  <si>
    <t xml:space="preserve">  субвенція на фінансування спортивних шкіл</t>
  </si>
  <si>
    <t xml:space="preserve">   Фізична культура та спорт</t>
  </si>
  <si>
    <t xml:space="preserve">  субвенція на соціальний захист</t>
  </si>
  <si>
    <t xml:space="preserve">   Житлово-комунальне господарство </t>
  </si>
  <si>
    <t xml:space="preserve">  субвенція на придбання житла</t>
  </si>
  <si>
    <t xml:space="preserve">   Транспорт, дорожнє господарство, зв'язок</t>
  </si>
  <si>
    <t xml:space="preserve">  субвенція на обслуговування боргу</t>
  </si>
  <si>
    <r>
      <t xml:space="preserve">   Інші видатки,</t>
    </r>
    <r>
      <rPr>
        <i/>
        <sz val="17"/>
        <rFont val="Times New Roman"/>
        <family val="1"/>
        <charset val="204"/>
      </rPr>
      <t xml:space="preserve"> в т.ч. надання кредитів, повернення залишків</t>
    </r>
  </si>
  <si>
    <t xml:space="preserve">  додаткова дотація</t>
  </si>
  <si>
    <t>Дефіцит/профіцит</t>
  </si>
  <si>
    <t>ВИДАТКИ</t>
  </si>
  <si>
    <t>Фінансування</t>
  </si>
  <si>
    <t>Державне управління</t>
  </si>
  <si>
    <t xml:space="preserve">зміна обсягів залишків коштів </t>
  </si>
  <si>
    <t>залишок без субвенції  ЗФ</t>
  </si>
  <si>
    <t>Освіта, в т.ч.</t>
  </si>
  <si>
    <t>Кошти, що передаються із заг. фонду бюджету до бюджету розвитку</t>
  </si>
  <si>
    <t xml:space="preserve">   субвенція з держбюжету</t>
  </si>
  <si>
    <t>Фінансування за рахунок позик банківських установ</t>
  </si>
  <si>
    <t>Охорона здоров'я, в т.ч.</t>
  </si>
  <si>
    <t>2.</t>
  </si>
  <si>
    <t>Цільові фонди (надходження)</t>
  </si>
  <si>
    <t xml:space="preserve">   в т.ч. кошти, що надходять відповідно до інвестиційних угод </t>
  </si>
  <si>
    <t>Соціальний захист та соціальне забезпечення, в т.ч.</t>
  </si>
  <si>
    <t xml:space="preserve">   кошти від розташування об'єктів зовнішньої реклами</t>
  </si>
  <si>
    <t xml:space="preserve">   пайової участі (внеску) власників тимчасових споруд (МАФ)</t>
  </si>
  <si>
    <t>Культура і мистецтво</t>
  </si>
  <si>
    <t xml:space="preserve">   кошти від плати за місця для паркування транспорних засобів</t>
  </si>
  <si>
    <t>Цільові фонди (витрати)</t>
  </si>
  <si>
    <t>Засоби масової інформації</t>
  </si>
  <si>
    <t>Видатки установ, організацій, підприємств</t>
  </si>
  <si>
    <t>Утримання об’єктів благоустрою, ЖКГ</t>
  </si>
  <si>
    <t>Фізична культура та спорт, в т.ч.</t>
  </si>
  <si>
    <t>Житлово-комунальне господарство</t>
  </si>
  <si>
    <t>3.</t>
  </si>
  <si>
    <t>Інші цільові фонди (екологічний, відновна вартість, відшкодування втрат) (надходження) в т.ч.</t>
  </si>
  <si>
    <t>Транспорт та транспортна інфраструктура, дорожнє господарство, зв'язок</t>
  </si>
  <si>
    <t xml:space="preserve"> грошові стягнення за забруднення навколишнього середовища</t>
  </si>
  <si>
    <t xml:space="preserve"> відновна вартість зелених насаджень</t>
  </si>
  <si>
    <t xml:space="preserve"> відшкодування втрат с/г л/г виробництва</t>
  </si>
  <si>
    <t>Будівництво</t>
  </si>
  <si>
    <t>Інші цільові фонди (екологічний, відновна вартість, відшкодування втрат) (витрати)</t>
  </si>
  <si>
    <t>Охорона навколишнього природного середовища</t>
  </si>
  <si>
    <t>Утримання рятувальної служби КП "Плесо" (заходи з організації рятування на водах)</t>
  </si>
  <si>
    <t>Створення та відновлення зелених насаджень</t>
  </si>
  <si>
    <t>Лісове господарство</t>
  </si>
  <si>
    <r>
      <t xml:space="preserve">Обслуговування боргу, </t>
    </r>
    <r>
      <rPr>
        <sz val="17"/>
        <color theme="0"/>
        <rFont val="Times New Roman"/>
        <family val="1"/>
        <charset val="204"/>
      </rPr>
      <t>в т.ч.</t>
    </r>
  </si>
  <si>
    <t>Видатки не віднесені до основних груп, в т.ч.</t>
  </si>
  <si>
    <r>
      <t xml:space="preserve">   Резервний фонд</t>
    </r>
    <r>
      <rPr>
        <i/>
        <sz val="17"/>
        <color theme="0"/>
        <rFont val="Times New Roman"/>
        <family val="1"/>
        <charset val="204"/>
      </rPr>
      <t xml:space="preserve"> (в т.ч. громадський бюджет)</t>
    </r>
  </si>
  <si>
    <t>4.</t>
  </si>
  <si>
    <t>Дорожній фонд (надходження)</t>
  </si>
  <si>
    <t>Дорожній фонд (витрати)</t>
  </si>
  <si>
    <t>Видатки на проведення робіт з будівництва, реконструкції, ремонту автомобільних доріг загальнодержавного значення</t>
  </si>
  <si>
    <t>ДЕФІЦИТ(-) / ПРОФІЦИТ(+)</t>
  </si>
  <si>
    <t>Повернення коштів до державного бюджету</t>
  </si>
  <si>
    <t>КРЕДИТУВАННЯ (повернення (+), надання (-))</t>
  </si>
  <si>
    <t>ФІНАНСУВАННЯ</t>
  </si>
  <si>
    <t>5.</t>
  </si>
  <si>
    <t>Власні надходження бюджетних установ (надходження)</t>
  </si>
  <si>
    <t xml:space="preserve">Видатки бюджетних установ за рахунок власних надходжень </t>
  </si>
  <si>
    <t>Кошти, що передаються із загального фонду бюджету до бюджету розвитку (спеціального фонду)</t>
  </si>
  <si>
    <t>6.</t>
  </si>
  <si>
    <t>Cубвенції з державного бюджету</t>
  </si>
  <si>
    <t>Погашення основної суми боргу</t>
  </si>
  <si>
    <t>Погашення заборгованості  з різниці в тарифах на теплову енергію</t>
  </si>
  <si>
    <t>СПЕЦІАЛЬНИЙ ФОНД (надходження)</t>
  </si>
  <si>
    <t>доходи</t>
  </si>
  <si>
    <t>СПЕЦІАЛЬНИЙ ФОНД (витрати)</t>
  </si>
  <si>
    <t>видатки</t>
  </si>
  <si>
    <t>залишки</t>
  </si>
  <si>
    <t>ДОХОДИ всього</t>
  </si>
  <si>
    <t>ВИДАТКИ всього</t>
  </si>
  <si>
    <t>ВСЬОГО СПЕЦІАЛЬНИЙ ФОНД</t>
  </si>
  <si>
    <t>2022                              (прогноз)</t>
  </si>
  <si>
    <t>2022                        (прогноз)</t>
  </si>
  <si>
    <t>Основні макропоказники бюджету м. Києва на 2020 -2022 роки</t>
  </si>
  <si>
    <t>2022 проєкт</t>
  </si>
  <si>
    <t>додаткові</t>
  </si>
  <si>
    <t>2022                  (проєкт)</t>
  </si>
  <si>
    <t>Фізична культура та спорт</t>
  </si>
  <si>
    <t>Обслуговування боргу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</si>
  <si>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</si>
  <si>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 xml:space="preserve">    кошти від плати за місця для паркування транспорних засобів</t>
  </si>
  <si>
    <t xml:space="preserve">    пайової участі (внеску) власників тимчасових споруд (МАФ)</t>
  </si>
  <si>
    <t xml:space="preserve">    кошти від розташування об'єктів зовнішньої реклами</t>
  </si>
  <si>
    <t>Цільові фонди (надходження), в т.ч.:</t>
  </si>
  <si>
    <t xml:space="preserve">    кошти, що надходять відповідно до інвестиційних угод </t>
  </si>
  <si>
    <t>2021    (рішення 07.12.2021)</t>
  </si>
  <si>
    <t>2022                                          (рішення 09.12.2021)</t>
  </si>
  <si>
    <t>2022                         (рішення   09.12.2021)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</si>
</sst>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0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FF0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6"/>
      <color rgb="FFFFFF00"/>
      <name val="Arial Cyr"/>
      <charset val="204"/>
    </font>
    <font>
      <sz val="17"/>
      <name val="Times New Roman"/>
      <family val="1"/>
      <charset val="204"/>
    </font>
    <font>
      <sz val="12"/>
      <color rgb="FFFFFF00"/>
      <name val="Arial Cyr"/>
      <charset val="204"/>
    </font>
    <font>
      <b/>
      <i/>
      <sz val="17"/>
      <color rgb="FFCCFF66"/>
      <name val="Times New Roman"/>
      <family val="1"/>
      <charset val="204"/>
    </font>
    <font>
      <i/>
      <sz val="17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b/>
      <sz val="12"/>
      <color rgb="FFCCFF66"/>
      <name val="Arial Cyr"/>
      <charset val="204"/>
    </font>
    <font>
      <b/>
      <sz val="17"/>
      <color rgb="FFCCFF6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7"/>
      <color rgb="FFFFFF00"/>
      <name val="Times New Roman"/>
      <family val="1"/>
      <charset val="204"/>
    </font>
    <font>
      <sz val="10"/>
      <color rgb="FFFF0000"/>
      <name val="Arial Cyr"/>
      <charset val="204"/>
    </font>
    <font>
      <sz val="17"/>
      <color rgb="FFFFFF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7"/>
      <color theme="0"/>
      <name val="Times New Roman"/>
      <family val="1"/>
      <charset val="204"/>
    </font>
    <font>
      <i/>
      <sz val="17"/>
      <color rgb="FFFF0000"/>
      <name val="Times New Roman"/>
      <family val="1"/>
      <charset val="204"/>
    </font>
    <font>
      <sz val="17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7"/>
      <color rgb="FFFF0000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6.5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4" fillId="0" borderId="0"/>
  </cellStyleXfs>
  <cellXfs count="1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" fontId="13" fillId="2" borderId="2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4" fontId="15" fillId="0" borderId="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5" fillId="0" borderId="2" xfId="1" applyNumberFormat="1" applyFont="1" applyFill="1" applyBorder="1" applyAlignment="1">
      <alignment horizontal="right" vertical="center"/>
    </xf>
    <xf numFmtId="4" fontId="17" fillId="0" borderId="0" xfId="1" applyNumberFormat="1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" fontId="18" fillId="0" borderId="2" xfId="1" applyNumberFormat="1" applyFont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/>
    </xf>
    <xf numFmtId="4" fontId="13" fillId="3" borderId="2" xfId="1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" fontId="21" fillId="0" borderId="0" xfId="1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4" fontId="13" fillId="0" borderId="2" xfId="1" applyNumberFormat="1" applyFont="1" applyBorder="1" applyAlignment="1">
      <alignment horizontal="right" vertical="center"/>
    </xf>
    <xf numFmtId="4" fontId="13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0" xfId="0" applyNumberFormat="1"/>
    <xf numFmtId="4" fontId="9" fillId="0" borderId="2" xfId="1" applyNumberFormat="1" applyFont="1" applyBorder="1" applyAlignment="1">
      <alignment horizontal="right" vertical="center"/>
    </xf>
    <xf numFmtId="4" fontId="23" fillId="0" borderId="2" xfId="1" applyNumberFormat="1" applyFont="1" applyBorder="1" applyAlignment="1">
      <alignment horizontal="right" vertical="center"/>
    </xf>
    <xf numFmtId="4" fontId="24" fillId="0" borderId="2" xfId="1" applyNumberFormat="1" applyFont="1" applyBorder="1" applyAlignment="1">
      <alignment horizontal="right" vertical="center"/>
    </xf>
    <xf numFmtId="4" fontId="24" fillId="0" borderId="3" xfId="1" applyNumberFormat="1" applyFont="1" applyBorder="1" applyAlignment="1">
      <alignment horizontal="right" vertical="center"/>
    </xf>
    <xf numFmtId="4" fontId="10" fillId="0" borderId="3" xfId="1" applyNumberFormat="1" applyFont="1" applyBorder="1" applyAlignment="1">
      <alignment horizontal="right" vertical="center"/>
    </xf>
    <xf numFmtId="0" fontId="25" fillId="0" borderId="2" xfId="0" applyFont="1" applyBorder="1"/>
    <xf numFmtId="4" fontId="24" fillId="0" borderId="0" xfId="1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6" fillId="0" borderId="2" xfId="1" applyNumberFormat="1" applyFont="1" applyBorder="1" applyAlignment="1">
      <alignment horizontal="right" vertical="center"/>
    </xf>
    <xf numFmtId="4" fontId="26" fillId="0" borderId="3" xfId="1" applyNumberFormat="1" applyFont="1" applyBorder="1" applyAlignment="1">
      <alignment horizontal="right" vertical="center"/>
    </xf>
    <xf numFmtId="4" fontId="19" fillId="0" borderId="3" xfId="1" applyNumberFormat="1" applyFont="1" applyBorder="1" applyAlignment="1">
      <alignment horizontal="right" vertical="center"/>
    </xf>
    <xf numFmtId="4" fontId="26" fillId="0" borderId="0" xfId="1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166" fontId="26" fillId="0" borderId="0" xfId="1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4" fontId="15" fillId="4" borderId="2" xfId="1" applyNumberFormat="1" applyFont="1" applyFill="1" applyBorder="1" applyAlignment="1">
      <alignment horizontal="right" vertical="center"/>
    </xf>
    <xf numFmtId="4" fontId="27" fillId="4" borderId="2" xfId="1" applyNumberFormat="1" applyFont="1" applyFill="1" applyBorder="1" applyAlignment="1">
      <alignment horizontal="right" vertical="center"/>
    </xf>
    <xf numFmtId="4" fontId="22" fillId="5" borderId="0" xfId="0" applyNumberFormat="1" applyFont="1" applyFill="1" applyAlignment="1">
      <alignment vertical="center"/>
    </xf>
    <xf numFmtId="4" fontId="22" fillId="6" borderId="0" xfId="0" applyNumberFormat="1" applyFont="1" applyFill="1" applyAlignment="1">
      <alignment vertical="center"/>
    </xf>
    <xf numFmtId="4" fontId="27" fillId="0" borderId="2" xfId="1" applyNumberFormat="1" applyFont="1" applyBorder="1" applyAlignment="1">
      <alignment horizontal="right" vertical="center"/>
    </xf>
    <xf numFmtId="0" fontId="13" fillId="7" borderId="2" xfId="0" applyFont="1" applyFill="1" applyBorder="1" applyAlignment="1">
      <alignment vertical="center"/>
    </xf>
    <xf numFmtId="4" fontId="13" fillId="7" borderId="2" xfId="1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4" fontId="13" fillId="3" borderId="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" fontId="18" fillId="0" borderId="2" xfId="1" applyNumberFormat="1" applyFont="1" applyFill="1" applyBorder="1" applyAlignment="1">
      <alignment horizontal="right" vertical="center"/>
    </xf>
    <xf numFmtId="0" fontId="29" fillId="2" borderId="2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/>
    </xf>
    <xf numFmtId="0" fontId="29" fillId="3" borderId="2" xfId="0" applyFont="1" applyFill="1" applyBorder="1" applyAlignment="1">
      <alignment vertical="center" wrapText="1"/>
    </xf>
    <xf numFmtId="4" fontId="19" fillId="0" borderId="0" xfId="0" applyNumberFormat="1" applyFont="1" applyAlignment="1">
      <alignment vertical="center"/>
    </xf>
    <xf numFmtId="4" fontId="15" fillId="6" borderId="2" xfId="1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0" fontId="31" fillId="0" borderId="2" xfId="0" applyFont="1" applyBorder="1" applyAlignment="1">
      <alignment vertical="center"/>
    </xf>
    <xf numFmtId="4" fontId="32" fillId="0" borderId="2" xfId="1" applyNumberFormat="1" applyFont="1" applyBorder="1" applyAlignment="1">
      <alignment horizontal="right" vertical="center"/>
    </xf>
    <xf numFmtId="0" fontId="30" fillId="4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vertical="center"/>
    </xf>
    <xf numFmtId="4" fontId="18" fillId="0" borderId="2" xfId="0" applyNumberFormat="1" applyFont="1" applyBorder="1" applyAlignment="1">
      <alignment horizontal="right" vertical="center"/>
    </xf>
    <xf numFmtId="4" fontId="27" fillId="0" borderId="2" xfId="0" applyNumberFormat="1" applyFont="1" applyBorder="1" applyAlignment="1">
      <alignment horizontal="right" vertical="center"/>
    </xf>
    <xf numFmtId="0" fontId="29" fillId="2" borderId="2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right" vertical="center"/>
    </xf>
    <xf numFmtId="4" fontId="13" fillId="7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vertical="center"/>
    </xf>
    <xf numFmtId="4" fontId="18" fillId="0" borderId="2" xfId="0" applyNumberFormat="1" applyFont="1" applyFill="1" applyBorder="1" applyAlignment="1">
      <alignment horizontal="right" vertical="center"/>
    </xf>
    <xf numFmtId="4" fontId="25" fillId="0" borderId="0" xfId="0" applyNumberFormat="1" applyFont="1"/>
    <xf numFmtId="0" fontId="3" fillId="2" borderId="2" xfId="0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 wrapText="1"/>
    </xf>
    <xf numFmtId="4" fontId="15" fillId="0" borderId="0" xfId="1" applyNumberFormat="1" applyFont="1" applyFill="1" applyBorder="1" applyAlignment="1">
      <alignment horizontal="right" vertical="center"/>
    </xf>
    <xf numFmtId="4" fontId="15" fillId="0" borderId="0" xfId="1" applyNumberFormat="1" applyFont="1" applyBorder="1" applyAlignment="1">
      <alignment horizontal="right" vertical="center"/>
    </xf>
    <xf numFmtId="4" fontId="2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29" fillId="3" borderId="6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left" vertical="center"/>
    </xf>
    <xf numFmtId="0" fontId="13" fillId="7" borderId="6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66" fontId="13" fillId="7" borderId="2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35" fillId="4" borderId="0" xfId="2" applyNumberFormat="1" applyFont="1" applyFill="1" applyBorder="1" applyAlignment="1">
      <alignment horizontal="right" vertical="center" wrapText="1"/>
    </xf>
    <xf numFmtId="0" fontId="30" fillId="0" borderId="6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/>
    </xf>
    <xf numFmtId="0" fontId="29" fillId="0" borderId="5" xfId="0" applyFont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4" fontId="13" fillId="0" borderId="0" xfId="1" applyNumberFormat="1" applyFont="1" applyFill="1" applyBorder="1" applyAlignment="1">
      <alignment horizontal="right" vertical="center"/>
    </xf>
    <xf numFmtId="4" fontId="36" fillId="0" borderId="0" xfId="1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4" fontId="13" fillId="8" borderId="0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vertical="center"/>
    </xf>
    <xf numFmtId="4" fontId="13" fillId="9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0" fontId="25" fillId="0" borderId="0" xfId="0" applyFont="1"/>
    <xf numFmtId="0" fontId="0" fillId="0" borderId="0" xfId="0" applyFont="1"/>
    <xf numFmtId="4" fontId="9" fillId="0" borderId="0" xfId="0" applyNumberFormat="1" applyFont="1" applyAlignment="1">
      <alignment vertical="center"/>
    </xf>
    <xf numFmtId="166" fontId="9" fillId="3" borderId="2" xfId="0" applyNumberFormat="1" applyFont="1" applyFill="1" applyBorder="1" applyAlignment="1">
      <alignment horizontal="right" vertical="center"/>
    </xf>
    <xf numFmtId="0" fontId="39" fillId="0" borderId="2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/>
    </xf>
  </cellXfs>
  <cellStyles count="3">
    <cellStyle name="Normal_Доходи" xfId="2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colors>
    <mruColors>
      <color rgb="FFEC2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66"/>
    <pageSetUpPr fitToPage="1"/>
  </sheetPr>
  <dimension ref="A1:BE77"/>
  <sheetViews>
    <sheetView showGridLines="0" view="pageBreakPreview" topLeftCell="G25" zoomScale="55" zoomScaleNormal="70" zoomScaleSheetLayoutView="55" workbookViewId="0">
      <selection activeCell="A69" sqref="A69"/>
    </sheetView>
  </sheetViews>
  <sheetFormatPr defaultColWidth="9.140625" defaultRowHeight="15.75" x14ac:dyDescent="0.25"/>
  <cols>
    <col min="1" max="1" width="78.5703125" customWidth="1"/>
    <col min="2" max="2" width="23" style="142" hidden="1" customWidth="1"/>
    <col min="3" max="3" width="21.42578125" style="142" hidden="1" customWidth="1"/>
    <col min="4" max="6" width="21.7109375" style="142" hidden="1" customWidth="1"/>
    <col min="7" max="7" width="22.7109375" style="141" customWidth="1"/>
    <col min="8" max="10" width="22.7109375" customWidth="1"/>
    <col min="11" max="11" width="22.7109375" hidden="1" customWidth="1"/>
    <col min="12" max="12" width="22.7109375" customWidth="1"/>
    <col min="13" max="13" width="2.5703125" customWidth="1"/>
    <col min="14" max="14" width="3.85546875" bestFit="1" customWidth="1"/>
    <col min="15" max="15" width="90.5703125" customWidth="1"/>
    <col min="16" max="16" width="20.42578125" style="141" hidden="1" customWidth="1"/>
    <col min="17" max="17" width="21.28515625" style="142" hidden="1" customWidth="1"/>
    <col min="18" max="20" width="21.7109375" style="142" hidden="1" customWidth="1"/>
    <col min="21" max="21" width="22.7109375" style="142" customWidth="1"/>
    <col min="22" max="22" width="21.42578125" style="142" customWidth="1"/>
    <col min="23" max="24" width="21.7109375" style="142" customWidth="1"/>
    <col min="25" max="25" width="24.7109375" style="142" hidden="1" customWidth="1"/>
    <col min="26" max="26" width="21.7109375" style="142" customWidth="1"/>
    <col min="27" max="27" width="20.5703125" hidden="1" customWidth="1"/>
    <col min="28" max="28" width="19.28515625" hidden="1" customWidth="1"/>
    <col min="29" max="29" width="15.7109375" hidden="1" customWidth="1"/>
    <col min="30" max="30" width="17.5703125" hidden="1" customWidth="1"/>
    <col min="31" max="31" width="23.42578125" hidden="1" customWidth="1"/>
    <col min="32" max="34" width="20.7109375" hidden="1" customWidth="1"/>
    <col min="35" max="35" width="15.5703125" hidden="1" customWidth="1"/>
    <col min="36" max="36" width="13.28515625" hidden="1" customWidth="1"/>
    <col min="37" max="37" width="14.7109375" hidden="1" customWidth="1"/>
    <col min="38" max="39" width="13" hidden="1" customWidth="1"/>
    <col min="40" max="40" width="13.85546875" hidden="1" customWidth="1"/>
    <col min="41" max="41" width="17.28515625" hidden="1" customWidth="1"/>
    <col min="42" max="43" width="20.7109375" hidden="1" customWidth="1"/>
    <col min="44" max="44" width="17.5703125" hidden="1" customWidth="1"/>
    <col min="45" max="45" width="5" hidden="1" customWidth="1"/>
    <col min="46" max="46" width="15" hidden="1" customWidth="1"/>
    <col min="47" max="47" width="23" style="2" hidden="1" customWidth="1"/>
    <col min="48" max="48" width="19.7109375" style="3" hidden="1" customWidth="1"/>
    <col min="49" max="49" width="16" hidden="1" customWidth="1"/>
    <col min="50" max="50" width="20.42578125" hidden="1" customWidth="1"/>
    <col min="51" max="53" width="22.85546875" style="4" hidden="1" customWidth="1"/>
    <col min="54" max="54" width="22.85546875" style="5" hidden="1" customWidth="1"/>
    <col min="55" max="55" width="22.85546875" customWidth="1"/>
    <col min="56" max="56" width="18.5703125" customWidth="1"/>
    <col min="57" max="57" width="21" customWidth="1"/>
  </cols>
  <sheetData>
    <row r="1" spans="1:57" ht="26.25" customHeight="1" x14ac:dyDescent="0.25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"/>
      <c r="AB1" s="1"/>
      <c r="AC1" s="1"/>
      <c r="AD1" s="1"/>
      <c r="AE1" s="1"/>
    </row>
    <row r="2" spans="1:57" s="10" customFormat="1" ht="26.25" customHeight="1" x14ac:dyDescent="0.2">
      <c r="A2" s="151" t="s">
        <v>0</v>
      </c>
      <c r="B2" s="151"/>
      <c r="C2" s="6"/>
      <c r="D2" s="6"/>
      <c r="E2" s="6"/>
      <c r="F2" s="6"/>
      <c r="G2" s="7"/>
      <c r="H2" s="8"/>
      <c r="I2" s="8"/>
      <c r="J2" s="8"/>
      <c r="K2" s="8"/>
      <c r="L2" s="8"/>
      <c r="M2" s="9"/>
      <c r="N2" s="151" t="s">
        <v>1</v>
      </c>
      <c r="O2" s="151"/>
      <c r="P2" s="151"/>
      <c r="Q2" s="151"/>
      <c r="R2" s="151"/>
      <c r="U2" s="11"/>
      <c r="X2" s="12" t="s">
        <v>2</v>
      </c>
      <c r="Y2" s="12"/>
      <c r="Z2" s="12"/>
      <c r="AU2" s="13"/>
      <c r="AV2" s="14"/>
      <c r="AY2" s="15"/>
      <c r="AZ2" s="15"/>
      <c r="BA2" s="15"/>
      <c r="BB2" s="16"/>
    </row>
    <row r="3" spans="1:57" ht="82.9" customHeight="1" x14ac:dyDescent="0.3">
      <c r="A3" s="17" t="s">
        <v>3</v>
      </c>
      <c r="B3" s="18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130</v>
      </c>
      <c r="K3" s="19" t="s">
        <v>134</v>
      </c>
      <c r="L3" s="19" t="s">
        <v>135</v>
      </c>
      <c r="M3" s="20"/>
      <c r="N3" s="17"/>
      <c r="O3" s="17" t="s">
        <v>3</v>
      </c>
      <c r="P3" s="18" t="s">
        <v>4</v>
      </c>
      <c r="Q3" s="19" t="s">
        <v>5</v>
      </c>
      <c r="R3" s="19" t="s">
        <v>6</v>
      </c>
      <c r="S3" s="19" t="s">
        <v>7</v>
      </c>
      <c r="T3" s="19" t="s">
        <v>8</v>
      </c>
      <c r="U3" s="19" t="s">
        <v>9</v>
      </c>
      <c r="V3" s="19" t="s">
        <v>10</v>
      </c>
      <c r="W3" s="19" t="s">
        <v>11</v>
      </c>
      <c r="X3" s="19" t="s">
        <v>131</v>
      </c>
      <c r="Y3" s="19" t="s">
        <v>134</v>
      </c>
      <c r="Z3" s="19" t="s">
        <v>133</v>
      </c>
      <c r="AA3" s="1"/>
      <c r="AB3" s="1"/>
      <c r="AC3" s="1"/>
      <c r="AD3" s="1"/>
      <c r="AE3" s="1"/>
      <c r="AU3" s="152" t="s">
        <v>12</v>
      </c>
      <c r="AV3" s="152"/>
      <c r="AW3" s="152"/>
      <c r="AX3" s="152"/>
    </row>
    <row r="4" spans="1:57" ht="21.75" x14ac:dyDescent="0.25">
      <c r="A4" s="21" t="s">
        <v>13</v>
      </c>
      <c r="B4" s="22">
        <f t="shared" ref="B4:I4" si="0">SUM(B10:B13,B5:B7)</f>
        <v>25658764.500000004</v>
      </c>
      <c r="C4" s="22">
        <f t="shared" si="0"/>
        <v>34128412.5</v>
      </c>
      <c r="D4" s="22">
        <f t="shared" si="0"/>
        <v>43005814.050000004</v>
      </c>
      <c r="E4" s="22">
        <f t="shared" si="0"/>
        <v>50447786.392000005</v>
      </c>
      <c r="F4" s="22">
        <f t="shared" si="0"/>
        <v>56901264.030000001</v>
      </c>
      <c r="G4" s="22">
        <f t="shared" si="0"/>
        <v>53123698.905000001</v>
      </c>
      <c r="H4" s="22">
        <f t="shared" si="0"/>
        <v>54928544.799999997</v>
      </c>
      <c r="I4" s="22">
        <f t="shared" si="0"/>
        <v>57332373.116999999</v>
      </c>
      <c r="J4" s="22">
        <f t="shared" ref="J4:L4" si="1">SUM(J10:J13,J5:J7)</f>
        <v>59293419.5</v>
      </c>
      <c r="K4" s="22">
        <f t="shared" si="1"/>
        <v>2573475.1</v>
      </c>
      <c r="L4" s="22">
        <f t="shared" si="1"/>
        <v>61866894.600000001</v>
      </c>
      <c r="M4" s="23"/>
      <c r="N4" s="153" t="s">
        <v>14</v>
      </c>
      <c r="O4" s="24" t="s">
        <v>15</v>
      </c>
      <c r="P4" s="22">
        <f>SUM(P5:P7)+4340</f>
        <v>689129.7</v>
      </c>
      <c r="Q4" s="22">
        <f>SUM(Q5:Q7)+49621.451+0.035</f>
        <v>742026.11900000006</v>
      </c>
      <c r="R4" s="22">
        <v>1059509.04</v>
      </c>
      <c r="S4" s="22">
        <f>SUM(S5:S7)+23062.891+1.921-1000</f>
        <v>739712.82499999995</v>
      </c>
      <c r="T4" s="22">
        <f>SUM(T5:T7)+5362.17+3284.64</f>
        <v>406558.54</v>
      </c>
      <c r="U4" s="22">
        <f>SUM(U5:U7)+7277.796</f>
        <v>538454.74199999997</v>
      </c>
      <c r="V4" s="22">
        <f>SUM(V5:V7)+10000</f>
        <v>959700</v>
      </c>
      <c r="W4" s="22">
        <f>SUM(W5:W7)+10000+27937.432</f>
        <v>1026049.632</v>
      </c>
      <c r="X4" s="22">
        <f>SUM(X5:X7)+10000+34</f>
        <v>1187234</v>
      </c>
      <c r="Y4" s="22">
        <f>SUM(Y5:Y7)</f>
        <v>0</v>
      </c>
      <c r="Z4" s="22">
        <f t="shared" ref="Z4" si="2">SUM(Z5:Z7)+10000+34</f>
        <v>1187234</v>
      </c>
      <c r="AA4" s="1"/>
      <c r="AB4" s="1"/>
      <c r="AC4" s="1"/>
      <c r="AD4" s="1"/>
      <c r="AE4" s="1"/>
    </row>
    <row r="5" spans="1:57" ht="22.5" x14ac:dyDescent="0.3">
      <c r="A5" s="25" t="s">
        <v>16</v>
      </c>
      <c r="B5" s="26">
        <v>8042566.9000000004</v>
      </c>
      <c r="C5" s="26">
        <v>11085651.5</v>
      </c>
      <c r="D5" s="26">
        <v>14628160.68</v>
      </c>
      <c r="E5" s="26">
        <f>18587100.557</f>
        <v>18587100.557</v>
      </c>
      <c r="F5" s="26">
        <v>23034611.09</v>
      </c>
      <c r="G5" s="26">
        <v>24566415.386</v>
      </c>
      <c r="H5" s="26">
        <v>27630653</v>
      </c>
      <c r="I5" s="26">
        <v>27889195.600000001</v>
      </c>
      <c r="J5" s="26">
        <v>29396595.5</v>
      </c>
      <c r="K5" s="26">
        <f>958000</f>
        <v>958000</v>
      </c>
      <c r="L5" s="26">
        <f>J5+K5</f>
        <v>30354595.5</v>
      </c>
      <c r="M5" s="154"/>
      <c r="N5" s="153"/>
      <c r="O5" s="25" t="s">
        <v>17</v>
      </c>
      <c r="P5" s="26">
        <v>272099.09999999998</v>
      </c>
      <c r="Q5" s="26">
        <v>92425.653000000006</v>
      </c>
      <c r="R5" s="26">
        <v>-2105.9699999999998</v>
      </c>
      <c r="S5" s="26">
        <v>149206.239</v>
      </c>
      <c r="T5" s="26">
        <v>68464.479999999996</v>
      </c>
      <c r="U5" s="26">
        <v>155973.12700000001</v>
      </c>
      <c r="V5" s="26">
        <v>100000</v>
      </c>
      <c r="W5" s="26">
        <v>100000</v>
      </c>
      <c r="X5" s="26">
        <v>300000</v>
      </c>
      <c r="Y5" s="26"/>
      <c r="Z5" s="26">
        <f>X5+Y5</f>
        <v>300000</v>
      </c>
      <c r="AA5" s="1"/>
      <c r="AB5" s="1"/>
      <c r="AC5" s="1"/>
      <c r="AD5" s="1"/>
      <c r="AE5" s="1"/>
      <c r="AU5" s="27" t="s">
        <v>18</v>
      </c>
      <c r="AV5" s="27">
        <v>7340</v>
      </c>
      <c r="AW5" s="28">
        <v>7363</v>
      </c>
      <c r="AX5" s="28" t="s">
        <v>19</v>
      </c>
    </row>
    <row r="6" spans="1:57" ht="22.5" x14ac:dyDescent="0.25">
      <c r="A6" s="25" t="s">
        <v>20</v>
      </c>
      <c r="B6" s="26">
        <v>1624927.7</v>
      </c>
      <c r="C6" s="26">
        <f>2889996+41832</f>
        <v>2931828</v>
      </c>
      <c r="D6" s="26">
        <v>3025629</v>
      </c>
      <c r="E6" s="26">
        <v>4284794.8550000004</v>
      </c>
      <c r="F6" s="26">
        <v>5106247.13</v>
      </c>
      <c r="G6" s="26">
        <v>5136049.5120000001</v>
      </c>
      <c r="H6" s="26">
        <v>5003758</v>
      </c>
      <c r="I6" s="26">
        <v>5338104.8</v>
      </c>
      <c r="J6" s="26">
        <v>5876000</v>
      </c>
      <c r="K6" s="26"/>
      <c r="L6" s="26">
        <f t="shared" ref="L6:L21" si="3">J6+K6</f>
        <v>5876000</v>
      </c>
      <c r="M6" s="154"/>
      <c r="N6" s="153"/>
      <c r="O6" s="25" t="s">
        <v>21</v>
      </c>
      <c r="P6" s="26">
        <v>79323.7</v>
      </c>
      <c r="Q6" s="26">
        <v>36850.559999999998</v>
      </c>
      <c r="R6" s="26">
        <v>174029.63</v>
      </c>
      <c r="S6" s="26">
        <v>88298.584000000003</v>
      </c>
      <c r="T6" s="26">
        <v>45220.1</v>
      </c>
      <c r="U6" s="26">
        <v>43010.034</v>
      </c>
      <c r="V6" s="26">
        <v>849700</v>
      </c>
      <c r="W6" s="26">
        <v>888112.2</v>
      </c>
      <c r="X6" s="26">
        <v>877200</v>
      </c>
      <c r="Y6" s="26"/>
      <c r="Z6" s="26">
        <f t="shared" ref="Z6:Z65" si="4">X6+Y6</f>
        <v>877200</v>
      </c>
      <c r="AA6" s="1"/>
      <c r="AB6" s="1"/>
      <c r="AC6" s="1"/>
      <c r="AD6" s="1"/>
      <c r="AE6" s="1"/>
      <c r="AW6" s="29" t="s">
        <v>22</v>
      </c>
    </row>
    <row r="7" spans="1:57" ht="22.5" x14ac:dyDescent="0.2">
      <c r="A7" s="25" t="s">
        <v>23</v>
      </c>
      <c r="B7" s="30">
        <v>2950501.1</v>
      </c>
      <c r="C7" s="30">
        <v>5493108.2999999998</v>
      </c>
      <c r="D7" s="26">
        <v>5545873.2400000002</v>
      </c>
      <c r="E7" s="26">
        <v>5984821.3530000001</v>
      </c>
      <c r="F7" s="26">
        <v>6880037.6600000001</v>
      </c>
      <c r="G7" s="26">
        <v>6470708.2929999996</v>
      </c>
      <c r="H7" s="26">
        <v>6473996</v>
      </c>
      <c r="I7" s="26">
        <v>6976198.9000000004</v>
      </c>
      <c r="J7" s="26">
        <v>6739192.5999999996</v>
      </c>
      <c r="K7" s="26">
        <f>361000</f>
        <v>361000</v>
      </c>
      <c r="L7" s="26">
        <f t="shared" si="3"/>
        <v>7100192.5999999996</v>
      </c>
      <c r="M7" s="154"/>
      <c r="N7" s="153"/>
      <c r="O7" s="25" t="s">
        <v>24</v>
      </c>
      <c r="P7" s="26">
        <v>333366.90000000002</v>
      </c>
      <c r="Q7" s="26">
        <v>563128.42000000004</v>
      </c>
      <c r="R7" s="26">
        <v>793396.99</v>
      </c>
      <c r="S7" s="26">
        <f>480143.19</f>
        <v>480143.19</v>
      </c>
      <c r="T7" s="26">
        <v>284227.15000000002</v>
      </c>
      <c r="U7" s="26">
        <v>332193.78499999997</v>
      </c>
      <c r="V7" s="26">
        <v>0</v>
      </c>
      <c r="W7" s="26">
        <v>0</v>
      </c>
      <c r="X7" s="26">
        <v>0</v>
      </c>
      <c r="Y7" s="26"/>
      <c r="Z7" s="26">
        <f t="shared" si="4"/>
        <v>0</v>
      </c>
      <c r="AA7" s="1"/>
      <c r="AB7" s="1"/>
      <c r="AC7" s="1"/>
      <c r="AD7" s="1"/>
      <c r="AE7" s="1"/>
      <c r="AY7" s="31" t="s">
        <v>25</v>
      </c>
      <c r="AZ7" s="31" t="s">
        <v>26</v>
      </c>
      <c r="BA7" s="31" t="s">
        <v>27</v>
      </c>
    </row>
    <row r="8" spans="1:57" ht="22.5" x14ac:dyDescent="0.25">
      <c r="A8" s="32" t="s">
        <v>28</v>
      </c>
      <c r="B8" s="33">
        <v>2644941.6</v>
      </c>
      <c r="C8" s="33">
        <v>5123725.2</v>
      </c>
      <c r="D8" s="33">
        <v>5023590.97</v>
      </c>
      <c r="E8" s="33">
        <f>2204961.678+2836330.871+70289.446+26528.734</f>
        <v>5138110.7289999994</v>
      </c>
      <c r="F8" s="33">
        <f>2400050.19+3131438.19+76589.63+25951.86</f>
        <v>5634029.8700000001</v>
      </c>
      <c r="G8" s="33">
        <f>1945100.598+2864223.758+78366.319+28386.913</f>
        <v>4916077.5879999995</v>
      </c>
      <c r="H8" s="33">
        <v>4768389</v>
      </c>
      <c r="I8" s="33">
        <v>5120482.4000000004</v>
      </c>
      <c r="J8" s="33">
        <v>5008389</v>
      </c>
      <c r="K8" s="33"/>
      <c r="L8" s="26">
        <f t="shared" si="3"/>
        <v>5008389</v>
      </c>
      <c r="M8" s="154"/>
      <c r="N8" s="153"/>
      <c r="O8" s="34" t="s">
        <v>29</v>
      </c>
      <c r="P8" s="35">
        <f>P9+P10</f>
        <v>3301274.9</v>
      </c>
      <c r="Q8" s="35">
        <f>SUM(Q9,Q10)</f>
        <v>7412281.2255000006</v>
      </c>
      <c r="R8" s="35">
        <f t="shared" ref="R8:W8" si="5">SUM(R9,R10)</f>
        <v>13249131.800000001</v>
      </c>
      <c r="S8" s="35">
        <f t="shared" si="5"/>
        <v>15987440.805</v>
      </c>
      <c r="T8" s="35">
        <f t="shared" si="5"/>
        <v>16203532.849999998</v>
      </c>
      <c r="U8" s="35">
        <f t="shared" si="5"/>
        <v>14079121.130999999</v>
      </c>
      <c r="V8" s="35">
        <f t="shared" si="5"/>
        <v>9297085.625</v>
      </c>
      <c r="W8" s="35">
        <f t="shared" si="5"/>
        <v>21229894.418999996</v>
      </c>
      <c r="X8" s="35">
        <f t="shared" ref="X8:Y8" si="6">SUM(X9,X10)</f>
        <v>13625259.763</v>
      </c>
      <c r="Y8" s="35">
        <f t="shared" si="6"/>
        <v>-93686.305000000168</v>
      </c>
      <c r="Z8" s="35">
        <f t="shared" si="4"/>
        <v>13531573.458000001</v>
      </c>
      <c r="AA8" s="36">
        <f>2156177.319-AA10</f>
        <v>2156177.3190000001</v>
      </c>
      <c r="AB8" s="155" t="s">
        <v>30</v>
      </c>
      <c r="AC8" s="155"/>
      <c r="AD8" s="155"/>
      <c r="AE8" s="156" t="s">
        <v>31</v>
      </c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37"/>
      <c r="AY8" s="38"/>
      <c r="AZ8" s="39"/>
      <c r="BA8" s="39"/>
    </row>
    <row r="9" spans="1:57" ht="22.5" x14ac:dyDescent="0.25">
      <c r="A9" s="32" t="s">
        <v>32</v>
      </c>
      <c r="B9" s="33">
        <v>138314.9</v>
      </c>
      <c r="C9" s="33">
        <v>94005</v>
      </c>
      <c r="D9" s="33">
        <v>72974.48</v>
      </c>
      <c r="E9" s="33">
        <f>51802.902+43157.689</f>
        <v>94960.591</v>
      </c>
      <c r="F9" s="33">
        <v>35716.11</v>
      </c>
      <c r="G9" s="33">
        <f>43656.475+27853.966</f>
        <v>71510.440999999992</v>
      </c>
      <c r="H9" s="33">
        <v>73607</v>
      </c>
      <c r="I9" s="33">
        <v>73607</v>
      </c>
      <c r="J9" s="33">
        <v>42090</v>
      </c>
      <c r="K9" s="33"/>
      <c r="L9" s="26">
        <f t="shared" si="3"/>
        <v>42090</v>
      </c>
      <c r="M9" s="154"/>
      <c r="N9" s="153"/>
      <c r="O9" s="40" t="s">
        <v>33</v>
      </c>
      <c r="P9" s="41">
        <v>58869.5</v>
      </c>
      <c r="Q9" s="42">
        <v>41860</v>
      </c>
      <c r="R9" s="41">
        <v>534100</v>
      </c>
      <c r="S9" s="41">
        <v>2000913.6</v>
      </c>
      <c r="T9" s="41">
        <v>303566.87</v>
      </c>
      <c r="U9" s="41">
        <v>0</v>
      </c>
      <c r="V9" s="41">
        <v>0</v>
      </c>
      <c r="W9" s="41">
        <v>385423.33199999999</v>
      </c>
      <c r="X9" s="41"/>
      <c r="Y9" s="41"/>
      <c r="Z9" s="41">
        <f t="shared" si="4"/>
        <v>0</v>
      </c>
      <c r="AA9" s="43" t="s">
        <v>34</v>
      </c>
      <c r="AB9" s="44" t="s">
        <v>35</v>
      </c>
      <c r="AC9" s="43" t="s">
        <v>36</v>
      </c>
      <c r="AD9" s="45" t="s">
        <v>37</v>
      </c>
      <c r="AE9" s="46" t="s">
        <v>38</v>
      </c>
      <c r="AF9" s="46" t="s">
        <v>39</v>
      </c>
      <c r="AG9" s="47" t="s">
        <v>40</v>
      </c>
      <c r="AH9" s="47" t="s">
        <v>41</v>
      </c>
      <c r="AP9" s="47" t="s">
        <v>42</v>
      </c>
      <c r="AQ9" s="48">
        <v>-15899965.98</v>
      </c>
      <c r="AY9" s="38"/>
      <c r="AZ9" s="39"/>
      <c r="BA9" s="39"/>
    </row>
    <row r="10" spans="1:57" ht="22.5" x14ac:dyDescent="0.25">
      <c r="A10" s="25" t="s">
        <v>43</v>
      </c>
      <c r="B10" s="26">
        <v>975550.7</v>
      </c>
      <c r="C10" s="26">
        <v>1366404.8</v>
      </c>
      <c r="D10" s="26">
        <v>1589749.4</v>
      </c>
      <c r="E10" s="26">
        <v>1732729.598</v>
      </c>
      <c r="F10" s="26">
        <v>1896782.25</v>
      </c>
      <c r="G10" s="26">
        <v>2166580.1269999999</v>
      </c>
      <c r="H10" s="26">
        <v>2032350</v>
      </c>
      <c r="I10" s="26">
        <v>2146180.5</v>
      </c>
      <c r="J10" s="26">
        <v>2228741</v>
      </c>
      <c r="K10" s="26">
        <f>133000</f>
        <v>133000</v>
      </c>
      <c r="L10" s="26">
        <f t="shared" si="3"/>
        <v>2361741</v>
      </c>
      <c r="M10" s="154"/>
      <c r="N10" s="153"/>
      <c r="O10" s="40" t="s">
        <v>44</v>
      </c>
      <c r="P10" s="41">
        <f>SUM(P11:P20)</f>
        <v>3242405.4</v>
      </c>
      <c r="Q10" s="41">
        <f t="shared" ref="Q10:AA10" si="7">SUM(Q11:Q20)</f>
        <v>7370421.2255000006</v>
      </c>
      <c r="R10" s="41">
        <f t="shared" si="7"/>
        <v>12715031.800000001</v>
      </c>
      <c r="S10" s="41">
        <f t="shared" si="7"/>
        <v>13986527.205</v>
      </c>
      <c r="T10" s="41">
        <f t="shared" si="7"/>
        <v>15899965.979999999</v>
      </c>
      <c r="U10" s="41">
        <f t="shared" si="7"/>
        <v>14079121.130999999</v>
      </c>
      <c r="V10" s="41">
        <f t="shared" si="7"/>
        <v>9297085.625</v>
      </c>
      <c r="W10" s="41">
        <f t="shared" si="7"/>
        <v>20844471.086999997</v>
      </c>
      <c r="X10" s="41">
        <f>16286802.047-2661542.284</f>
        <v>13625259.763</v>
      </c>
      <c r="Y10" s="41">
        <f>Y11+Y12+Y13+Y14+Y15+Y16+Y17+Y18+Y19+Y20</f>
        <v>-93686.305000000168</v>
      </c>
      <c r="Z10" s="41">
        <f t="shared" si="4"/>
        <v>13531573.458000001</v>
      </c>
      <c r="AA10" s="49">
        <f t="shared" si="7"/>
        <v>0</v>
      </c>
      <c r="AB10" s="50">
        <f>SUM(AB11:AB21)</f>
        <v>14858509.224000001</v>
      </c>
      <c r="AC10" s="50">
        <f>SUM(AC11:AC21)</f>
        <v>815290.81900000002</v>
      </c>
      <c r="AD10" s="50">
        <f>SUM(AD11:AD21)</f>
        <v>310670.03199999995</v>
      </c>
      <c r="AE10" s="51">
        <f t="shared" ref="AE10:AN10" si="8">SUM(AE11:AE20)</f>
        <v>315530.08</v>
      </c>
      <c r="AF10" s="51">
        <f t="shared" si="8"/>
        <v>277313.82</v>
      </c>
      <c r="AG10" s="51">
        <f t="shared" si="8"/>
        <v>11409304.050000001</v>
      </c>
      <c r="AH10" s="52">
        <f t="shared" si="8"/>
        <v>3446357.11</v>
      </c>
      <c r="AI10" s="53">
        <f t="shared" si="8"/>
        <v>2674141.4300000002</v>
      </c>
      <c r="AJ10" s="53">
        <f t="shared" si="8"/>
        <v>34828.69</v>
      </c>
      <c r="AK10" s="53">
        <f t="shared" si="8"/>
        <v>631034.01</v>
      </c>
      <c r="AL10" s="53">
        <f t="shared" si="8"/>
        <v>77122.11</v>
      </c>
      <c r="AM10" s="53">
        <f t="shared" si="8"/>
        <v>19023.97</v>
      </c>
      <c r="AN10" s="53">
        <f t="shared" si="8"/>
        <v>10206.9</v>
      </c>
      <c r="AO10" s="54"/>
      <c r="AP10" s="52">
        <f t="shared" ref="AP10" si="9">SUM(AP11:AP20)</f>
        <v>455098.07</v>
      </c>
      <c r="AQ10" s="48">
        <f>AE10+AF10+AG10+AH10+AP10</f>
        <v>15903603.130000001</v>
      </c>
      <c r="AR10" s="48">
        <f>T10-AQ10</f>
        <v>-3637.1500000022352</v>
      </c>
      <c r="AS10" s="48">
        <f>AR10+AF22</f>
        <v>-3637.1500000022352</v>
      </c>
      <c r="AT10" s="48"/>
      <c r="AU10" s="55">
        <f>AU11+AU12+AU13+AU14+AU15+AU16+AU17+AU18+AU19+AU20</f>
        <v>3024336.6969999997</v>
      </c>
      <c r="AV10" s="55">
        <f t="shared" ref="AV10:AW10" si="10">AV11+AV12+AV13+AV14+AV15+AV16+AV17+AV18+AV19+AV20</f>
        <v>52432.154000000002</v>
      </c>
      <c r="AW10" s="55">
        <f t="shared" si="10"/>
        <v>130584.48799999998</v>
      </c>
      <c r="AX10" s="56">
        <f>AU10+AV10+AW10</f>
        <v>3207353.3389999997</v>
      </c>
      <c r="AY10" s="38"/>
      <c r="AZ10" s="39">
        <v>3058692.3689999999</v>
      </c>
      <c r="BA10" s="39"/>
      <c r="BC10" s="26">
        <f>BC11+BC12+BC13+BC14+BC15+BC16+BC17+BC18+BC19+BC20</f>
        <v>13625259.762999998</v>
      </c>
      <c r="BD10" s="26">
        <f>X10-BC10</f>
        <v>0</v>
      </c>
      <c r="BE10" s="48"/>
    </row>
    <row r="11" spans="1:57" ht="21.6" customHeight="1" x14ac:dyDescent="0.2">
      <c r="A11" s="25" t="s">
        <v>45</v>
      </c>
      <c r="B11" s="26">
        <v>1922474.5</v>
      </c>
      <c r="C11" s="26">
        <v>3120118.4</v>
      </c>
      <c r="D11" s="26">
        <v>4133852.3</v>
      </c>
      <c r="E11" s="26">
        <f>5486430.725</f>
        <v>5486430.7249999996</v>
      </c>
      <c r="F11" s="26">
        <v>6915598.2999999998</v>
      </c>
      <c r="G11" s="26">
        <v>7625902.3480000002</v>
      </c>
      <c r="H11" s="26">
        <v>7328000</v>
      </c>
      <c r="I11" s="26">
        <v>7805924.2999999998</v>
      </c>
      <c r="J11" s="26">
        <v>8272300</v>
      </c>
      <c r="K11" s="26">
        <f>808000</f>
        <v>808000</v>
      </c>
      <c r="L11" s="26">
        <f t="shared" si="3"/>
        <v>9080300</v>
      </c>
      <c r="M11" s="154"/>
      <c r="N11" s="153"/>
      <c r="O11" s="25" t="s">
        <v>46</v>
      </c>
      <c r="P11" s="26">
        <f>43460+3410.9</f>
        <v>46870.9</v>
      </c>
      <c r="Q11" s="30">
        <f>79380.09844+34434.8</f>
        <v>113814.89844</v>
      </c>
      <c r="R11" s="26">
        <v>124030.89</v>
      </c>
      <c r="S11" s="26">
        <f>AA11+AB11+AC11+AD11</f>
        <v>47885.224000000002</v>
      </c>
      <c r="T11" s="26">
        <f>AE11+AF11+AG11+AH11+AP11</f>
        <v>56332.800000000003</v>
      </c>
      <c r="U11" s="33">
        <v>64594.8</v>
      </c>
      <c r="V11" s="26">
        <v>46785.95</v>
      </c>
      <c r="W11" s="26">
        <v>79125.634999999995</v>
      </c>
      <c r="X11" s="26">
        <f>BC11</f>
        <v>30521.599999999999</v>
      </c>
      <c r="Y11" s="70">
        <f>5000</f>
        <v>5000</v>
      </c>
      <c r="Z11" s="26">
        <f t="shared" si="4"/>
        <v>35521.599999999999</v>
      </c>
      <c r="AA11" s="36"/>
      <c r="AB11" s="57">
        <v>24534.717000000001</v>
      </c>
      <c r="AC11" s="57">
        <v>23350.507000000001</v>
      </c>
      <c r="AD11" s="57"/>
      <c r="AE11" s="58"/>
      <c r="AF11" s="58"/>
      <c r="AG11" s="58">
        <f>29097.63</f>
        <v>29097.63</v>
      </c>
      <c r="AH11" s="59">
        <v>6622.8</v>
      </c>
      <c r="AI11" s="60"/>
      <c r="AJ11" s="60">
        <v>6622.8</v>
      </c>
      <c r="AK11" s="60"/>
      <c r="AL11" s="60"/>
      <c r="AM11" s="60"/>
      <c r="AN11" s="60"/>
      <c r="AO11" s="60">
        <f>AH11-AI11-AJ11-AK11-AL11-AN11-AM11</f>
        <v>0</v>
      </c>
      <c r="AP11" s="58">
        <v>20612.37</v>
      </c>
      <c r="AU11" s="61">
        <v>3249.8040000000001</v>
      </c>
      <c r="AV11" s="61"/>
      <c r="AW11" s="61"/>
      <c r="AY11" s="39">
        <v>44158.686000000002</v>
      </c>
      <c r="AZ11" s="39"/>
      <c r="BA11" s="39">
        <f>AY11+AZ11</f>
        <v>44158.686000000002</v>
      </c>
      <c r="BB11" s="31">
        <f>U11-BA11</f>
        <v>20436.114000000001</v>
      </c>
      <c r="BC11" s="70">
        <f>30521.6</f>
        <v>30521.599999999999</v>
      </c>
    </row>
    <row r="12" spans="1:57" ht="22.5" x14ac:dyDescent="0.2">
      <c r="A12" s="25" t="s">
        <v>47</v>
      </c>
      <c r="B12" s="62">
        <v>666985.6</v>
      </c>
      <c r="C12" s="62">
        <f>712135.6+234.1</f>
        <v>712369.7</v>
      </c>
      <c r="D12" s="26">
        <v>1035236.08</v>
      </c>
      <c r="E12" s="26">
        <f>32041.298+52918.42-889.115+32983.588+59.782+37.572+738982.096+2000.562</f>
        <v>858134.2030000001</v>
      </c>
      <c r="F12" s="26">
        <f>47135.43+66.57+63628.67+9.27+85.75+703002.68+785.65+35716.1</f>
        <v>850430.12000000011</v>
      </c>
      <c r="G12" s="26">
        <f>30970.046-6.616+2239.51+34692.883-5.097-24.726+718833.882+1194.714</f>
        <v>787894.59600000002</v>
      </c>
      <c r="H12" s="26">
        <f>35750+31555+667035+100</f>
        <v>734440</v>
      </c>
      <c r="I12" s="26">
        <v>830400.2</v>
      </c>
      <c r="J12" s="26">
        <f>36233+33350+711700+100</f>
        <v>781383</v>
      </c>
      <c r="K12" s="26"/>
      <c r="L12" s="26">
        <f t="shared" si="3"/>
        <v>781383</v>
      </c>
      <c r="M12" s="154"/>
      <c r="N12" s="153"/>
      <c r="O12" s="25" t="s">
        <v>48</v>
      </c>
      <c r="P12" s="26">
        <f>279900.8+257843.41</f>
        <v>537744.21</v>
      </c>
      <c r="Q12" s="30">
        <f>625507.57205+408424.6</f>
        <v>1033932.1720499999</v>
      </c>
      <c r="R12" s="26">
        <v>1826341.61</v>
      </c>
      <c r="S12" s="26">
        <f t="shared" ref="S12:S19" si="11">AA12+AB12+AC12+AD12</f>
        <v>1786693.9340000001</v>
      </c>
      <c r="T12" s="26">
        <f t="shared" ref="T12:T19" si="12">AE12+AF12+AG12+AH12+AP12</f>
        <v>1938550.23</v>
      </c>
      <c r="U12" s="33">
        <v>2848937.8169999998</v>
      </c>
      <c r="V12" s="26">
        <v>1225206.72</v>
      </c>
      <c r="W12" s="26">
        <v>1918215.4920000001</v>
      </c>
      <c r="X12" s="26">
        <f t="shared" ref="X12:X19" si="13">BC12</f>
        <v>1510475.05</v>
      </c>
      <c r="Y12" s="70">
        <f>283760+90000+25000</f>
        <v>398760</v>
      </c>
      <c r="Z12" s="26">
        <f t="shared" si="4"/>
        <v>1909235.05</v>
      </c>
      <c r="AA12" s="36"/>
      <c r="AB12" s="57">
        <f>1164338.982+243229.582+(31493.968)</f>
        <v>1439062.5320000001</v>
      </c>
      <c r="AC12" s="57">
        <v>246863.17499999999</v>
      </c>
      <c r="AD12" s="57">
        <f>4607.221+45749.053+5170.123+12083.66+1000+2678.334+104.62+1350+28025.216</f>
        <v>100768.227</v>
      </c>
      <c r="AE12" s="58">
        <v>84317.78</v>
      </c>
      <c r="AF12" s="58">
        <v>10125</v>
      </c>
      <c r="AG12" s="58">
        <v>723412.65</v>
      </c>
      <c r="AH12" s="59">
        <f>596312.26+415799.6+1438.54+0.01</f>
        <v>1013550.41</v>
      </c>
      <c r="AI12" s="60">
        <v>596312.26</v>
      </c>
      <c r="AJ12" s="60"/>
      <c r="AK12" s="60">
        <v>415799.61</v>
      </c>
      <c r="AL12" s="60"/>
      <c r="AM12" s="60"/>
      <c r="AN12" s="60">
        <v>1438.54</v>
      </c>
      <c r="AO12" s="60">
        <f t="shared" ref="AO12:AO20" si="14">AH12-AI12-AJ12-AK12-AL12-AN12-AM12</f>
        <v>3.7289282772690058E-11</v>
      </c>
      <c r="AP12" s="58">
        <v>107144.39</v>
      </c>
      <c r="AU12" s="61">
        <v>806711.84699999995</v>
      </c>
      <c r="AV12" s="61"/>
      <c r="AW12" s="61">
        <v>42037.758000000002</v>
      </c>
      <c r="AY12" s="39">
        <v>1679501.554</v>
      </c>
      <c r="AZ12" s="39">
        <f>26485.162+760463.437</f>
        <v>786948.59900000005</v>
      </c>
      <c r="BA12" s="39">
        <f t="shared" ref="BA12:BA20" si="15">AY12+AZ12</f>
        <v>2466450.1529999999</v>
      </c>
      <c r="BB12" s="31">
        <f t="shared" ref="BB12:BB20" si="16">U12-BA12</f>
        <v>382487.66399999987</v>
      </c>
      <c r="BC12" s="70">
        <f>700000+804006.3+6468.75</f>
        <v>1510475.05</v>
      </c>
    </row>
    <row r="13" spans="1:57" ht="22.5" x14ac:dyDescent="0.2">
      <c r="A13" s="63" t="s">
        <v>49</v>
      </c>
      <c r="B13" s="41">
        <f>SUM(B14:B19)+677871.5</f>
        <v>9475758</v>
      </c>
      <c r="C13" s="41">
        <f>SUM(C14:C21)+78305.8</f>
        <v>9418931.8000000007</v>
      </c>
      <c r="D13" s="41">
        <v>13047313.35</v>
      </c>
      <c r="E13" s="41">
        <v>13513775.101</v>
      </c>
      <c r="F13" s="41">
        <f>12217557.48</f>
        <v>12217557.48</v>
      </c>
      <c r="G13" s="41">
        <v>6370148.6430000002</v>
      </c>
      <c r="H13" s="41">
        <v>5725347.7999999998</v>
      </c>
      <c r="I13" s="41">
        <v>6346368.8169999998</v>
      </c>
      <c r="J13" s="41">
        <v>5999207.4000000004</v>
      </c>
      <c r="K13" s="41">
        <v>313475.09999999998</v>
      </c>
      <c r="L13" s="41">
        <f t="shared" si="3"/>
        <v>6312682.5</v>
      </c>
      <c r="M13" s="154"/>
      <c r="N13" s="153"/>
      <c r="O13" s="25" t="s">
        <v>50</v>
      </c>
      <c r="P13" s="26">
        <f>95154.4+50553.2</f>
        <v>145707.59999999998</v>
      </c>
      <c r="Q13" s="30">
        <f>882297.85278+80249.2</f>
        <v>962547.05277999991</v>
      </c>
      <c r="R13" s="26">
        <v>1222323.07</v>
      </c>
      <c r="S13" s="26">
        <f t="shared" si="11"/>
        <v>1409371.524</v>
      </c>
      <c r="T13" s="26">
        <f t="shared" si="12"/>
        <v>1922939.52</v>
      </c>
      <c r="U13" s="33">
        <v>1656894.507</v>
      </c>
      <c r="V13" s="26">
        <v>491509.6</v>
      </c>
      <c r="W13" s="26">
        <v>1583944.3659999999</v>
      </c>
      <c r="X13" s="26">
        <f t="shared" si="13"/>
        <v>459955.1</v>
      </c>
      <c r="Y13" s="70">
        <f>182260</f>
        <v>182260</v>
      </c>
      <c r="Z13" s="26">
        <f t="shared" si="4"/>
        <v>642215.1</v>
      </c>
      <c r="AA13" s="36"/>
      <c r="AB13" s="57">
        <v>1371007.953</v>
      </c>
      <c r="AC13" s="57">
        <f>28581.722+100.278</f>
        <v>28682</v>
      </c>
      <c r="AD13" s="57">
        <f>4716.89+4964.681</f>
        <v>9681.5709999999999</v>
      </c>
      <c r="AE13" s="58">
        <v>87899.91</v>
      </c>
      <c r="AF13" s="58">
        <v>2355.6999999999998</v>
      </c>
      <c r="AG13" s="58">
        <v>1549165.63</v>
      </c>
      <c r="AH13" s="59">
        <f>163284.96+76897.29+3246.38</f>
        <v>243428.63</v>
      </c>
      <c r="AI13" s="60">
        <v>163284.96</v>
      </c>
      <c r="AJ13" s="60"/>
      <c r="AK13" s="60"/>
      <c r="AL13" s="60">
        <v>76897.289999999994</v>
      </c>
      <c r="AM13" s="60"/>
      <c r="AN13" s="60">
        <v>3246.38</v>
      </c>
      <c r="AO13" s="60">
        <f t="shared" si="14"/>
        <v>1.9099388737231493E-11</v>
      </c>
      <c r="AP13" s="58">
        <v>40089.65</v>
      </c>
      <c r="AU13" s="61">
        <f>167892.301</f>
        <v>167892.30100000001</v>
      </c>
      <c r="AV13" s="64">
        <v>1452.3440000000001</v>
      </c>
      <c r="AW13" s="61">
        <v>16601.935000000001</v>
      </c>
      <c r="AY13" s="39">
        <v>1494936.017</v>
      </c>
      <c r="AZ13" s="39">
        <f>166439.957</f>
        <v>166439.95699999999</v>
      </c>
      <c r="BA13" s="39">
        <f t="shared" si="15"/>
        <v>1661375.9739999999</v>
      </c>
      <c r="BB13" s="31">
        <f t="shared" si="16"/>
        <v>-4481.466999999946</v>
      </c>
      <c r="BC13" s="70">
        <f>250000+209955.1</f>
        <v>459955.1</v>
      </c>
    </row>
    <row r="14" spans="1:57" ht="22.5" x14ac:dyDescent="0.2">
      <c r="A14" s="65" t="s">
        <v>51</v>
      </c>
      <c r="B14" s="26">
        <v>2114709.2999999998</v>
      </c>
      <c r="C14" s="26">
        <f>2226941.3+27749.9</f>
        <v>2254691.1999999997</v>
      </c>
      <c r="D14" s="66">
        <v>3184704.2</v>
      </c>
      <c r="E14" s="66">
        <v>2838033.7</v>
      </c>
      <c r="F14" s="66">
        <v>3529613.6</v>
      </c>
      <c r="G14" s="66">
        <v>4202013.8</v>
      </c>
      <c r="H14" s="66">
        <v>5407135.9000000004</v>
      </c>
      <c r="I14" s="66">
        <v>5407135.9000000004</v>
      </c>
      <c r="J14" s="66">
        <v>5901182.5</v>
      </c>
      <c r="K14" s="66">
        <v>94323.9</v>
      </c>
      <c r="L14" s="26">
        <f t="shared" si="3"/>
        <v>5995506.4000000004</v>
      </c>
      <c r="M14" s="154"/>
      <c r="N14" s="153"/>
      <c r="O14" s="25" t="s">
        <v>52</v>
      </c>
      <c r="P14" s="26">
        <f>12335.5+1741.1</f>
        <v>14076.6</v>
      </c>
      <c r="Q14" s="30">
        <f>74890.43514-Q15+65632.9</f>
        <v>125267.10170999999</v>
      </c>
      <c r="R14" s="26">
        <v>247292.99</v>
      </c>
      <c r="S14" s="26">
        <f>AA14+AB14+AC14+AD14-S15</f>
        <v>238225.04900000003</v>
      </c>
      <c r="T14" s="26">
        <f>AE14+AF14+AG14+AH14+AP14-T15</f>
        <v>223962.07000000004</v>
      </c>
      <c r="U14" s="33">
        <v>263273.96999999997</v>
      </c>
      <c r="V14" s="26">
        <v>249681.9</v>
      </c>
      <c r="W14" s="26">
        <v>455127.46500000003</v>
      </c>
      <c r="X14" s="26">
        <f t="shared" si="13"/>
        <v>195232.6</v>
      </c>
      <c r="Y14" s="70">
        <f>11750</f>
        <v>11750</v>
      </c>
      <c r="Z14" s="26">
        <f t="shared" si="4"/>
        <v>206982.6</v>
      </c>
      <c r="AA14" s="36"/>
      <c r="AB14" s="57">
        <v>100856.894</v>
      </c>
      <c r="AC14" s="57">
        <v>17244.531999999999</v>
      </c>
      <c r="AD14" s="57">
        <f>6976.504+31603.425+106745.398</f>
        <v>145325.32699999999</v>
      </c>
      <c r="AE14" s="58">
        <f>129788.84</f>
        <v>129788.84</v>
      </c>
      <c r="AF14" s="58"/>
      <c r="AG14" s="58">
        <f>114210.69</f>
        <v>114210.69</v>
      </c>
      <c r="AH14" s="59">
        <v>4065.16</v>
      </c>
      <c r="AI14" s="60">
        <v>4065.16</v>
      </c>
      <c r="AJ14" s="60"/>
      <c r="AK14" s="60"/>
      <c r="AL14" s="60"/>
      <c r="AM14" s="60"/>
      <c r="AN14" s="60"/>
      <c r="AO14" s="60">
        <f t="shared" si="14"/>
        <v>0</v>
      </c>
      <c r="AP14" s="58">
        <v>15133.15</v>
      </c>
      <c r="AU14" s="61">
        <v>7005.433</v>
      </c>
      <c r="AV14" s="64"/>
      <c r="AW14" s="61"/>
      <c r="AY14" s="39">
        <v>222192.65400000001</v>
      </c>
      <c r="AZ14" s="39">
        <v>7005.433</v>
      </c>
      <c r="BA14" s="39">
        <f t="shared" si="15"/>
        <v>229198.087</v>
      </c>
      <c r="BB14" s="31">
        <f t="shared" si="16"/>
        <v>34075.882999999973</v>
      </c>
      <c r="BC14" s="70">
        <f>70000+95000+30232.6</f>
        <v>195232.6</v>
      </c>
    </row>
    <row r="15" spans="1:57" ht="22.5" x14ac:dyDescent="0.2">
      <c r="A15" s="65" t="s">
        <v>53</v>
      </c>
      <c r="B15" s="26">
        <v>292244.90000000002</v>
      </c>
      <c r="C15" s="26"/>
      <c r="D15" s="66"/>
      <c r="E15" s="66"/>
      <c r="F15" s="66"/>
      <c r="G15" s="66"/>
      <c r="H15" s="66"/>
      <c r="I15" s="66"/>
      <c r="J15" s="66"/>
      <c r="K15" s="66"/>
      <c r="L15" s="26">
        <f t="shared" si="3"/>
        <v>0</v>
      </c>
      <c r="M15" s="154"/>
      <c r="N15" s="153"/>
      <c r="O15" s="25" t="s">
        <v>54</v>
      </c>
      <c r="P15" s="26">
        <v>7783.3</v>
      </c>
      <c r="Q15" s="30">
        <f>15256.23343</f>
        <v>15256.23343</v>
      </c>
      <c r="R15" s="26">
        <v>24713.45</v>
      </c>
      <c r="S15" s="26">
        <f>5624.361+14147.977+5429.366</f>
        <v>25201.703999999998</v>
      </c>
      <c r="T15" s="26">
        <v>39235.769999999997</v>
      </c>
      <c r="U15" s="33">
        <v>37912.512000000002</v>
      </c>
      <c r="V15" s="26">
        <v>11399.07</v>
      </c>
      <c r="W15" s="26">
        <v>30355.008000000002</v>
      </c>
      <c r="X15" s="26">
        <f t="shared" si="13"/>
        <v>16289.779999999999</v>
      </c>
      <c r="Y15" s="70">
        <f>2398.7</f>
        <v>2398.6999999999998</v>
      </c>
      <c r="Z15" s="26">
        <f t="shared" si="4"/>
        <v>18688.48</v>
      </c>
      <c r="AA15" s="36"/>
      <c r="AB15" s="57"/>
      <c r="AC15" s="57"/>
      <c r="AD15" s="57"/>
      <c r="AE15" s="58"/>
      <c r="AF15" s="58"/>
      <c r="AG15" s="58"/>
      <c r="AH15" s="59"/>
      <c r="AI15" s="60"/>
      <c r="AJ15" s="60"/>
      <c r="AK15" s="60"/>
      <c r="AL15" s="60"/>
      <c r="AM15" s="60"/>
      <c r="AN15" s="60"/>
      <c r="AO15" s="60">
        <f t="shared" si="14"/>
        <v>0</v>
      </c>
      <c r="AP15" s="58"/>
      <c r="AU15" s="61">
        <v>0</v>
      </c>
      <c r="AV15" s="64"/>
      <c r="AW15" s="61"/>
      <c r="AY15" s="39">
        <v>34886.567000000003</v>
      </c>
      <c r="AZ15" s="39"/>
      <c r="BA15" s="39">
        <f t="shared" si="15"/>
        <v>34886.567000000003</v>
      </c>
      <c r="BB15" s="31">
        <f t="shared" si="16"/>
        <v>3025.9449999999997</v>
      </c>
      <c r="BC15" s="70">
        <f>10000+6289.78</f>
        <v>16289.779999999999</v>
      </c>
    </row>
    <row r="16" spans="1:57" ht="22.5" x14ac:dyDescent="0.2">
      <c r="A16" s="65" t="s">
        <v>55</v>
      </c>
      <c r="B16" s="26">
        <v>3192620.8</v>
      </c>
      <c r="C16" s="26">
        <f>3094638.1+110780.9</f>
        <v>3205419</v>
      </c>
      <c r="D16" s="66">
        <v>4121560.5</v>
      </c>
      <c r="E16" s="66">
        <v>4334525.7</v>
      </c>
      <c r="F16" s="66">
        <v>4269656.9000000004</v>
      </c>
      <c r="G16" s="66">
        <v>1126026.098</v>
      </c>
      <c r="H16" s="66">
        <v>0</v>
      </c>
      <c r="I16" s="66">
        <v>0</v>
      </c>
      <c r="J16" s="66">
        <v>0</v>
      </c>
      <c r="K16" s="66"/>
      <c r="L16" s="26">
        <f t="shared" si="3"/>
        <v>0</v>
      </c>
      <c r="M16" s="23"/>
      <c r="N16" s="153"/>
      <c r="O16" s="25" t="s">
        <v>56</v>
      </c>
      <c r="P16" s="26">
        <f>14875.9+67595.55</f>
        <v>82471.45</v>
      </c>
      <c r="Q16" s="30">
        <f>89340.89127+92567.7</f>
        <v>181908.59126999998</v>
      </c>
      <c r="R16" s="26">
        <v>245836.66</v>
      </c>
      <c r="S16" s="26">
        <f t="shared" si="11"/>
        <v>291079.00099999999</v>
      </c>
      <c r="T16" s="26">
        <f t="shared" si="12"/>
        <v>445495.18</v>
      </c>
      <c r="U16" s="33">
        <v>606798.34400000004</v>
      </c>
      <c r="V16" s="26">
        <v>295442.48</v>
      </c>
      <c r="W16" s="26">
        <v>590330.72900000005</v>
      </c>
      <c r="X16" s="26">
        <f t="shared" si="13"/>
        <v>183000</v>
      </c>
      <c r="Y16" s="70">
        <f>4687+20000</f>
        <v>24687</v>
      </c>
      <c r="Z16" s="26">
        <f t="shared" si="4"/>
        <v>207687</v>
      </c>
      <c r="AA16" s="36"/>
      <c r="AB16" s="57">
        <f>224589.576+7378.177+35871.936</f>
        <v>267839.68900000001</v>
      </c>
      <c r="AC16" s="57">
        <v>18168.312000000002</v>
      </c>
      <c r="AD16" s="57">
        <v>5071</v>
      </c>
      <c r="AE16" s="58"/>
      <c r="AF16" s="58"/>
      <c r="AG16" s="58">
        <v>58002.64</v>
      </c>
      <c r="AH16" s="59">
        <f>332376.94+9.2+3827.6-0.01</f>
        <v>336213.73</v>
      </c>
      <c r="AI16" s="60">
        <v>332376.94</v>
      </c>
      <c r="AJ16" s="60">
        <v>9.19</v>
      </c>
      <c r="AK16" s="60"/>
      <c r="AL16" s="60"/>
      <c r="AM16" s="60">
        <f>171.9+150+334.85+1639.59+1124.76+200+60.1+146.4</f>
        <v>3827.6000000000004</v>
      </c>
      <c r="AN16" s="60"/>
      <c r="AO16" s="60">
        <f t="shared" si="14"/>
        <v>-2.1373125491663814E-11</v>
      </c>
      <c r="AP16" s="58">
        <v>51278.81</v>
      </c>
      <c r="AU16" s="61">
        <v>414917.86900000001</v>
      </c>
      <c r="AV16" s="64"/>
      <c r="AW16" s="61">
        <v>0</v>
      </c>
      <c r="AY16" s="39">
        <v>153438.26199999999</v>
      </c>
      <c r="AZ16" s="39">
        <f>2759.5+412158.368</f>
        <v>414917.86800000002</v>
      </c>
      <c r="BA16" s="39">
        <f t="shared" si="15"/>
        <v>568356.13</v>
      </c>
      <c r="BB16" s="31">
        <f t="shared" si="16"/>
        <v>38442.214000000036</v>
      </c>
      <c r="BC16" s="70">
        <f>90000+91000+2000</f>
        <v>183000</v>
      </c>
    </row>
    <row r="17" spans="1:55" ht="22.5" x14ac:dyDescent="0.2">
      <c r="A17" s="65" t="s">
        <v>57</v>
      </c>
      <c r="B17" s="26">
        <v>29200</v>
      </c>
      <c r="C17" s="26"/>
      <c r="D17" s="66"/>
      <c r="E17" s="66"/>
      <c r="F17" s="66"/>
      <c r="G17" s="67"/>
      <c r="H17" s="66"/>
      <c r="I17" s="66"/>
      <c r="J17" s="66"/>
      <c r="K17" s="66"/>
      <c r="L17" s="26">
        <f t="shared" si="3"/>
        <v>0</v>
      </c>
      <c r="M17" s="154"/>
      <c r="N17" s="153"/>
      <c r="O17" s="25" t="s">
        <v>58</v>
      </c>
      <c r="P17" s="26">
        <f>24905.1+130.62</f>
        <v>25035.719999999998</v>
      </c>
      <c r="Q17" s="30">
        <f>44193.3365+77905.3</f>
        <v>122098.63649999999</v>
      </c>
      <c r="R17" s="26">
        <v>144101.03</v>
      </c>
      <c r="S17" s="26">
        <f t="shared" si="11"/>
        <v>173542.47000000003</v>
      </c>
      <c r="T17" s="26">
        <f t="shared" si="12"/>
        <v>230213.27999999997</v>
      </c>
      <c r="U17" s="33">
        <v>197965.48</v>
      </c>
      <c r="V17" s="26">
        <v>70527.483999999997</v>
      </c>
      <c r="W17" s="26">
        <v>216019.033</v>
      </c>
      <c r="X17" s="26">
        <f t="shared" si="13"/>
        <v>122500</v>
      </c>
      <c r="Y17" s="70">
        <f>5000</f>
        <v>5000</v>
      </c>
      <c r="Z17" s="26">
        <f t="shared" si="4"/>
        <v>127500</v>
      </c>
      <c r="AA17" s="36"/>
      <c r="AB17" s="57">
        <f>48013.123+73447.653</f>
        <v>121460.77600000001</v>
      </c>
      <c r="AC17" s="68">
        <v>36217.785000000003</v>
      </c>
      <c r="AD17" s="57">
        <v>15863.909</v>
      </c>
      <c r="AE17" s="58"/>
      <c r="AF17" s="58"/>
      <c r="AG17" s="58">
        <v>51670.02</v>
      </c>
      <c r="AH17" s="59">
        <f>47278.79+99933.9+224.8+0.02</f>
        <v>147437.50999999998</v>
      </c>
      <c r="AI17" s="60">
        <v>47278.79</v>
      </c>
      <c r="AJ17" s="60"/>
      <c r="AK17" s="60">
        <v>99933.9</v>
      </c>
      <c r="AL17" s="60">
        <v>224.82</v>
      </c>
      <c r="AM17" s="60"/>
      <c r="AN17" s="60"/>
      <c r="AO17" s="60">
        <f t="shared" si="14"/>
        <v>-2.2112089936854318E-11</v>
      </c>
      <c r="AP17" s="58">
        <v>31105.75</v>
      </c>
      <c r="AU17" s="61">
        <v>10410.831</v>
      </c>
      <c r="AV17" s="64"/>
      <c r="AW17" s="61"/>
      <c r="AY17" s="39">
        <v>133549.41699999999</v>
      </c>
      <c r="AZ17" s="39">
        <f>8386.392+59.88</f>
        <v>8446.271999999999</v>
      </c>
      <c r="BA17" s="39">
        <f t="shared" si="15"/>
        <v>141995.68899999998</v>
      </c>
      <c r="BB17" s="31">
        <f t="shared" si="16"/>
        <v>55969.791000000027</v>
      </c>
      <c r="BC17" s="70">
        <f>50000+66500+6000</f>
        <v>122500</v>
      </c>
    </row>
    <row r="18" spans="1:55" ht="22.5" x14ac:dyDescent="0.2">
      <c r="A18" s="65" t="s">
        <v>59</v>
      </c>
      <c r="B18" s="26">
        <v>3146067</v>
      </c>
      <c r="C18" s="26">
        <f>2089134.4+1465368.1+204.5+8421.1+66510.7</f>
        <v>3629638.8000000003</v>
      </c>
      <c r="D18" s="66">
        <v>5450415.3899999997</v>
      </c>
      <c r="E18" s="66">
        <f>2304385.663+3469662.424+243.17+12692.66</f>
        <v>5786983.9170000004</v>
      </c>
      <c r="F18" s="66">
        <v>3755866.42</v>
      </c>
      <c r="G18" s="67"/>
      <c r="H18" s="66"/>
      <c r="I18" s="66"/>
      <c r="J18" s="66"/>
      <c r="K18" s="66"/>
      <c r="L18" s="26">
        <f t="shared" si="3"/>
        <v>0</v>
      </c>
      <c r="M18" s="154"/>
      <c r="N18" s="153"/>
      <c r="O18" s="25" t="s">
        <v>60</v>
      </c>
      <c r="P18" s="26">
        <f>328743.3+468342.3+525559.62</f>
        <v>1322645.22</v>
      </c>
      <c r="Q18" s="30">
        <f>409062.64932+1379329.84</f>
        <v>1788392.4893200002</v>
      </c>
      <c r="R18" s="26">
        <f>969134.63+1722422.35</f>
        <v>2691556.98</v>
      </c>
      <c r="S18" s="26">
        <f t="shared" si="11"/>
        <v>3104123.8659999999</v>
      </c>
      <c r="T18" s="26">
        <f t="shared" si="12"/>
        <v>4415393.5699999994</v>
      </c>
      <c r="U18" s="33">
        <v>5205313.5060000001</v>
      </c>
      <c r="V18" s="26">
        <v>2401018.5430000001</v>
      </c>
      <c r="W18" s="26">
        <v>4239969.0049999999</v>
      </c>
      <c r="X18" s="26">
        <f t="shared" si="13"/>
        <v>2712247.24</v>
      </c>
      <c r="Y18" s="70">
        <f>304524.85+206246.8+3000+110000+10000+126377.242</f>
        <v>760148.89199999988</v>
      </c>
      <c r="Z18" s="26">
        <f t="shared" si="4"/>
        <v>3472396.1320000002</v>
      </c>
      <c r="AA18" s="36"/>
      <c r="AB18" s="57">
        <f>2952913.933+3200+(20593.326+35.429)</f>
        <v>2976742.6880000001</v>
      </c>
      <c r="AC18" s="57">
        <v>115485.905</v>
      </c>
      <c r="AD18" s="57">
        <f>120.836+8915.484+822.548+885.008+500+26.662+475.828+148.907</f>
        <v>11895.272999999999</v>
      </c>
      <c r="AE18" s="58">
        <v>13523.55</v>
      </c>
      <c r="AF18" s="58">
        <v>5003</v>
      </c>
      <c r="AG18" s="58">
        <v>2711454.6</v>
      </c>
      <c r="AH18" s="59">
        <f>1492999.74+28196.7+30643.9+71.91+0.05</f>
        <v>1551912.2999999998</v>
      </c>
      <c r="AI18" s="60">
        <v>1492999.74</v>
      </c>
      <c r="AJ18" s="60">
        <v>28196.7</v>
      </c>
      <c r="AK18" s="60">
        <v>30643.95</v>
      </c>
      <c r="AL18" s="60"/>
      <c r="AM18" s="60"/>
      <c r="AN18" s="60">
        <v>71.91</v>
      </c>
      <c r="AO18" s="60">
        <f t="shared" si="14"/>
        <v>-1.7840307009464595E-10</v>
      </c>
      <c r="AP18" s="58">
        <v>133500.12</v>
      </c>
      <c r="AU18" s="61">
        <v>1511559.1340000001</v>
      </c>
      <c r="AV18" s="64"/>
      <c r="AW18" s="61">
        <v>56014.411</v>
      </c>
      <c r="AY18" s="39">
        <v>2732359.6710000001</v>
      </c>
      <c r="AZ18" s="39">
        <f>22622.469+1326913.742+140654.631</f>
        <v>1490190.8420000002</v>
      </c>
      <c r="BA18" s="39">
        <f t="shared" si="15"/>
        <v>4222550.5130000003</v>
      </c>
      <c r="BB18" s="31">
        <f t="shared" si="16"/>
        <v>982762.99299999978</v>
      </c>
      <c r="BC18" s="70">
        <f>1360000+328153.04+1007106.5+16987.7</f>
        <v>2712247.24</v>
      </c>
    </row>
    <row r="19" spans="1:55" ht="22.5" x14ac:dyDescent="0.2">
      <c r="A19" s="65" t="s">
        <v>61</v>
      </c>
      <c r="B19" s="26">
        <v>23044.5</v>
      </c>
      <c r="C19" s="26"/>
      <c r="D19" s="66">
        <v>9304.0300000000007</v>
      </c>
      <c r="E19" s="66">
        <f>6976.504+8915.484+106745.398+31603.425</f>
        <v>154240.81099999999</v>
      </c>
      <c r="F19" s="66">
        <v>126504.2</v>
      </c>
      <c r="G19" s="66">
        <f>45256.256+11251.716+62478.176+15030.383</f>
        <v>134016.53099999999</v>
      </c>
      <c r="H19" s="66">
        <v>15806.9</v>
      </c>
      <c r="I19" s="66">
        <v>127340.4</v>
      </c>
      <c r="J19" s="66">
        <v>16987.7</v>
      </c>
      <c r="K19" s="66">
        <v>1691.5</v>
      </c>
      <c r="L19" s="26">
        <f t="shared" si="3"/>
        <v>18679.2</v>
      </c>
      <c r="M19" s="154"/>
      <c r="N19" s="153"/>
      <c r="O19" s="65" t="s">
        <v>62</v>
      </c>
      <c r="P19" s="26">
        <f>367626.4+586591.86</f>
        <v>954218.26</v>
      </c>
      <c r="Q19" s="30">
        <f>858734.728+1436527.6+42438.7</f>
        <v>2337701.0280000004</v>
      </c>
      <c r="R19" s="26">
        <v>5921406.2599999998</v>
      </c>
      <c r="S19" s="26">
        <f t="shared" si="11"/>
        <v>6076842.631000001</v>
      </c>
      <c r="T19" s="26">
        <f t="shared" si="12"/>
        <v>6145581.8399999999</v>
      </c>
      <c r="U19" s="33">
        <f>4832398.345-1963705.5</f>
        <v>2868692.8449999997</v>
      </c>
      <c r="V19" s="26">
        <v>4318580.8779999996</v>
      </c>
      <c r="W19" s="26">
        <v>11396259.274</v>
      </c>
      <c r="X19" s="26">
        <f t="shared" si="13"/>
        <v>6153641.9179999996</v>
      </c>
      <c r="Y19" s="70">
        <f>15000+105000+195000</f>
        <v>315000</v>
      </c>
      <c r="Z19" s="26">
        <f t="shared" si="4"/>
        <v>6468641.9179999996</v>
      </c>
      <c r="AA19" s="36"/>
      <c r="AB19" s="57">
        <f>5763292.496+7675.962+34.974</f>
        <v>5771003.432000001</v>
      </c>
      <c r="AC19" s="69">
        <v>305149.70400000003</v>
      </c>
      <c r="AD19" s="57">
        <v>689.495</v>
      </c>
      <c r="AE19" s="58"/>
      <c r="AF19" s="58">
        <v>192614.6</v>
      </c>
      <c r="AG19" s="58">
        <f>5171293.23+672200.38</f>
        <v>5843493.6100000003</v>
      </c>
      <c r="AH19" s="59">
        <f>84656.5+0.05</f>
        <v>84656.55</v>
      </c>
      <c r="AI19" s="60"/>
      <c r="AJ19" s="60"/>
      <c r="AK19" s="60">
        <v>84656.55</v>
      </c>
      <c r="AL19" s="60"/>
      <c r="AM19" s="60"/>
      <c r="AN19" s="60"/>
      <c r="AO19" s="60">
        <f t="shared" si="14"/>
        <v>0</v>
      </c>
      <c r="AP19" s="58">
        <v>24817.08</v>
      </c>
      <c r="AU19" s="61">
        <f>30458.147</f>
        <v>30458.147000000001</v>
      </c>
      <c r="AV19" s="64">
        <v>575.13499999999999</v>
      </c>
      <c r="AW19" s="61">
        <v>11474.4</v>
      </c>
      <c r="AY19" s="39">
        <v>4353465.301</v>
      </c>
      <c r="AZ19" s="39"/>
      <c r="BA19" s="39">
        <f t="shared" si="15"/>
        <v>4353465.301</v>
      </c>
      <c r="BB19" s="31">
        <f t="shared" si="16"/>
        <v>-1484772.4560000002</v>
      </c>
      <c r="BC19" s="70">
        <f>3166368.958+2557992.8+129080.16+300200</f>
        <v>6153641.9179999996</v>
      </c>
    </row>
    <row r="20" spans="1:55" ht="45" x14ac:dyDescent="0.2">
      <c r="A20" s="25" t="s">
        <v>63</v>
      </c>
      <c r="B20" s="26"/>
      <c r="C20" s="26">
        <v>248063.6</v>
      </c>
      <c r="D20" s="26"/>
      <c r="E20" s="26"/>
      <c r="F20" s="26"/>
      <c r="G20" s="70"/>
      <c r="H20" s="26"/>
      <c r="I20" s="26"/>
      <c r="J20" s="26"/>
      <c r="K20" s="26"/>
      <c r="L20" s="26">
        <f t="shared" si="3"/>
        <v>0</v>
      </c>
      <c r="M20" s="154"/>
      <c r="N20" s="153"/>
      <c r="O20" s="65" t="s">
        <v>64</v>
      </c>
      <c r="P20" s="26">
        <f>2371.8+58470.1+26408.93+18601.31</f>
        <v>105852.14</v>
      </c>
      <c r="Q20" s="26">
        <f>101442.712+588542.2-481.89</f>
        <v>689503.022</v>
      </c>
      <c r="R20" s="26">
        <f>148246.15+119182.71</f>
        <v>267428.86</v>
      </c>
      <c r="S20" s="26">
        <f>AA20+AB20+AC20+AD20+2970.73</f>
        <v>833561.80200000003</v>
      </c>
      <c r="T20" s="26">
        <f>AE20+AF20+AG20+AH20+AP20-3637.15</f>
        <v>482261.72</v>
      </c>
      <c r="U20" s="33">
        <v>328737.34999999998</v>
      </c>
      <c r="V20" s="26">
        <f>177433+9500</f>
        <v>186933</v>
      </c>
      <c r="W20" s="26">
        <f>44100+291025.08</f>
        <v>335125.08</v>
      </c>
      <c r="X20" s="26">
        <f>BC20</f>
        <v>2241396.4750000001</v>
      </c>
      <c r="Y20" s="26">
        <f>40000+5000+20000+160000+31902.1+762777.903-2793370.9-25000</f>
        <v>-1798690.8969999999</v>
      </c>
      <c r="Z20" s="26">
        <f>X20+Y20</f>
        <v>442705.57800000021</v>
      </c>
      <c r="AA20" s="36"/>
      <c r="AB20" s="57">
        <f>1208961.546-334931.375-(89765.402-1735.767)+0.007</f>
        <v>786000.54300000006</v>
      </c>
      <c r="AC20" s="57">
        <f>23315.576-(689.789-589.511)+0.001</f>
        <v>23215.299000000003</v>
      </c>
      <c r="AD20" s="57">
        <f>57.999+1964.681+5000+243.217+4019.909+30358.413+4949.045+789.725+817.991+189.495+9492.042+17158+949.006+0.01-(75989.527-21375.224)</f>
        <v>21375.229999999981</v>
      </c>
      <c r="AE20" s="58"/>
      <c r="AF20" s="70">
        <v>67215.520000000004</v>
      </c>
      <c r="AG20" s="58">
        <f>327720.29+1076.29</f>
        <v>328796.57999999996</v>
      </c>
      <c r="AH20" s="59">
        <f>37823.58+1010.4+4439.67+15196.37</f>
        <v>58470.020000000004</v>
      </c>
      <c r="AI20" s="60">
        <v>37823.58</v>
      </c>
      <c r="AJ20" s="60"/>
      <c r="AK20" s="60"/>
      <c r="AL20" s="60"/>
      <c r="AM20" s="60">
        <v>15196.37</v>
      </c>
      <c r="AN20" s="60">
        <f>1010.4+4439.67</f>
        <v>5450.07</v>
      </c>
      <c r="AO20" s="60">
        <f t="shared" si="14"/>
        <v>0</v>
      </c>
      <c r="AP20" s="58">
        <f>1823.9+29592.84+0.01</f>
        <v>31416.75</v>
      </c>
      <c r="AU20" s="61">
        <f>24565.463+47570.608-4.74</f>
        <v>72131.330999999991</v>
      </c>
      <c r="AV20" s="61">
        <f>52432.154-2027.479</f>
        <v>50404.675000000003</v>
      </c>
      <c r="AW20" s="61">
        <v>4455.9840000000004</v>
      </c>
      <c r="AY20" s="39">
        <v>175560.47399999999</v>
      </c>
      <c r="AZ20" s="39">
        <f>69.8+13849.614+52304.501+24565.462+93954.015</f>
        <v>184743.39199999999</v>
      </c>
      <c r="BA20" s="39">
        <f t="shared" si="15"/>
        <v>360303.86599999998</v>
      </c>
      <c r="BB20" s="31">
        <f t="shared" si="16"/>
        <v>-31566.516000000003</v>
      </c>
      <c r="BC20" s="26">
        <f>66971.635+41000+25000+38735.19+14096.855+2055592.795</f>
        <v>2241396.4750000001</v>
      </c>
    </row>
    <row r="21" spans="1:55" ht="22.5" x14ac:dyDescent="0.2">
      <c r="A21" s="25" t="s">
        <v>65</v>
      </c>
      <c r="B21" s="26"/>
      <c r="C21" s="26">
        <v>2813.4</v>
      </c>
      <c r="D21" s="26">
        <v>5810.8</v>
      </c>
      <c r="E21" s="26">
        <v>100212.3</v>
      </c>
      <c r="F21" s="26">
        <v>53808.800000000003</v>
      </c>
      <c r="G21" s="26">
        <v>52714.3</v>
      </c>
      <c r="H21" s="26">
        <v>52543</v>
      </c>
      <c r="I21" s="26">
        <v>52543</v>
      </c>
      <c r="J21" s="26">
        <v>81037.2</v>
      </c>
      <c r="K21" s="26"/>
      <c r="L21" s="26">
        <f t="shared" si="3"/>
        <v>81037.2</v>
      </c>
      <c r="M21" s="154"/>
      <c r="N21" s="153"/>
      <c r="O21" s="71" t="s">
        <v>66</v>
      </c>
      <c r="P21" s="72">
        <f t="shared" ref="P21:W21" si="17">P4-P8</f>
        <v>-2612145.2000000002</v>
      </c>
      <c r="Q21" s="72">
        <f t="shared" si="17"/>
        <v>-6670255.1065000007</v>
      </c>
      <c r="R21" s="72">
        <f t="shared" si="17"/>
        <v>-12189622.760000002</v>
      </c>
      <c r="S21" s="72">
        <f t="shared" si="17"/>
        <v>-15247727.98</v>
      </c>
      <c r="T21" s="72">
        <f t="shared" si="17"/>
        <v>-15796974.309999999</v>
      </c>
      <c r="U21" s="72">
        <f t="shared" si="17"/>
        <v>-13540666.388999999</v>
      </c>
      <c r="V21" s="72">
        <f t="shared" si="17"/>
        <v>-8337385.625</v>
      </c>
      <c r="W21" s="72">
        <f t="shared" si="17"/>
        <v>-20203844.786999997</v>
      </c>
      <c r="X21" s="72">
        <f>X4-X8+360000</f>
        <v>-12078025.763</v>
      </c>
      <c r="Y21" s="72"/>
      <c r="Z21" s="72">
        <f>Z4-Z8</f>
        <v>-12344339.458000001</v>
      </c>
      <c r="AA21" s="1"/>
      <c r="AB21" s="57">
        <v>2000000</v>
      </c>
      <c r="AC21" s="45">
        <v>913.6</v>
      </c>
      <c r="AD21" s="36"/>
      <c r="AE21" s="51">
        <f>592843.9-AF21</f>
        <v>315530.08</v>
      </c>
      <c r="AF21" s="51">
        <v>277313.82</v>
      </c>
      <c r="AG21" s="51">
        <f>15159228.03-303566.87</f>
        <v>14855661.16</v>
      </c>
      <c r="AH21" s="52">
        <v>3446357.11</v>
      </c>
      <c r="AI21" s="60"/>
      <c r="AJ21" s="60"/>
      <c r="AK21" s="60"/>
      <c r="AL21" s="60"/>
      <c r="AM21" s="53">
        <v>19023.97</v>
      </c>
      <c r="AN21" s="60"/>
      <c r="AO21" s="60"/>
      <c r="AP21" s="51">
        <v>455098.07</v>
      </c>
      <c r="AU21" s="55">
        <f>3207353.341-52432.154-130584.487</f>
        <v>3024336.6999999997</v>
      </c>
      <c r="AV21" s="55">
        <v>52432.154000000002</v>
      </c>
      <c r="AW21" s="55">
        <v>130584.48699999999</v>
      </c>
      <c r="AX21" s="56">
        <v>3207353.341</v>
      </c>
      <c r="AY21" s="31"/>
      <c r="AZ21" s="31">
        <f>AZ11+AZ12+AZ13+AZ14+AZ15+AZ16+AZ17+AZ18+AZ19+AZ20-AZ10</f>
        <v>-5.9999995864927769E-3</v>
      </c>
      <c r="BA21" s="31">
        <f>BA11+BA12+BA13+BA14+BA15+BA16+BA17+BA18+BA19+BA20</f>
        <v>14082740.966000002</v>
      </c>
      <c r="BB21" s="31">
        <f>BB11+BB12+BB13+BB14+BB15+BB16+BB17+BB18+BB19+BB20</f>
        <v>-3619.835000000603</v>
      </c>
    </row>
    <row r="22" spans="1:55" ht="22.5" x14ac:dyDescent="0.2">
      <c r="A22" s="73" t="s">
        <v>67</v>
      </c>
      <c r="B22" s="74">
        <f>B23+B24+B26+B28+B30+B32+B34+B36+B38+B42+B44+B45+B47+B41+B43</f>
        <v>19400192.399999995</v>
      </c>
      <c r="C22" s="74">
        <f>C23+C24+C26+C28+C30+C32+C34+C36+C38+C42+C44+C45+C47+C41+C43</f>
        <v>22655318.600000001</v>
      </c>
      <c r="D22" s="74">
        <f>D23+D24+D26+D28+D30+D32+D34+D36+D38+D42+D44+D45+D47+D41+D43+D49</f>
        <v>31847965.609000001</v>
      </c>
      <c r="E22" s="74">
        <f>E23+E24+E26+E28+E30+E32+E34+E36+E38+E42+E44+E45+E47+E41+E43+E49</f>
        <v>35871108.080999993</v>
      </c>
      <c r="F22" s="74">
        <f>F23+F24+F26+F28+F30+F32+F34+F36+F38+F42+F44+F45+F47+F41+F43</f>
        <v>40114582.109999992</v>
      </c>
      <c r="G22" s="74">
        <f>G23+G24+G26+G28+G30+G32+G34+G36+G38+G42+G44+G45+G47+G41+G43</f>
        <v>39380465.001000002</v>
      </c>
      <c r="H22" s="74">
        <f>H23+H24+H26+H28+H30+H32+H34+H36+H38+H42+H44+H45+H47+H41+H43</f>
        <v>43994554.245999992</v>
      </c>
      <c r="I22" s="74">
        <f>I23+I24+I26+I28+I30+I32+I34+I36+I38+I42+I44+I45+I47+I41+I43</f>
        <v>46834491.074000001</v>
      </c>
      <c r="J22" s="74">
        <f>J23+J24+J26+J28+J30+J32+J34+J36+J38+J42+J44+J45+J47+J41+J43</f>
        <v>46987879.737999998</v>
      </c>
      <c r="K22" s="74">
        <f t="shared" ref="K22:L22" si="18">K23+K24+K26+K28+K30+K32+K34+K36+K38+K42+K44+K45+K47+K41+K43</f>
        <v>556503.22300000011</v>
      </c>
      <c r="L22" s="74">
        <f t="shared" si="18"/>
        <v>47544382.960999995</v>
      </c>
      <c r="M22" s="154"/>
      <c r="N22" s="153"/>
      <c r="O22" s="71" t="s">
        <v>68</v>
      </c>
      <c r="P22" s="72">
        <f t="shared" ref="P22:W22" si="19">P23+P24+P25</f>
        <v>2612145.2000000002</v>
      </c>
      <c r="Q22" s="72">
        <f t="shared" si="19"/>
        <v>6670255.1100000003</v>
      </c>
      <c r="R22" s="72">
        <f t="shared" si="19"/>
        <v>12189622.76</v>
      </c>
      <c r="S22" s="72">
        <f t="shared" si="19"/>
        <v>15247727.981000001</v>
      </c>
      <c r="T22" s="72">
        <f t="shared" si="19"/>
        <v>15796974.310000001</v>
      </c>
      <c r="U22" s="72">
        <f t="shared" si="19"/>
        <v>13540666.388999999</v>
      </c>
      <c r="V22" s="72">
        <f t="shared" si="19"/>
        <v>8337385.625</v>
      </c>
      <c r="W22" s="72">
        <f t="shared" si="19"/>
        <v>20203844.787</v>
      </c>
      <c r="X22" s="72">
        <f>X23+X24+X25</f>
        <v>12078025.763</v>
      </c>
      <c r="Y22" s="72"/>
      <c r="Z22" s="72">
        <f t="shared" ref="Z22" si="20">Z23+Z24+Z25</f>
        <v>12344339.462000001</v>
      </c>
      <c r="AA22" s="1"/>
      <c r="AB22" s="1"/>
      <c r="AC22" s="1"/>
      <c r="AD22" s="1"/>
      <c r="AE22" s="36">
        <f>AE10-AE21</f>
        <v>0</v>
      </c>
      <c r="AF22" s="36">
        <f t="shared" ref="AF22:AH22" si="21">AF10-AF21</f>
        <v>0</v>
      </c>
      <c r="AG22" s="36">
        <f t="shared" si="21"/>
        <v>-3446357.1099999994</v>
      </c>
      <c r="AH22" s="36">
        <f t="shared" si="21"/>
        <v>0</v>
      </c>
      <c r="AI22" s="54"/>
      <c r="AJ22" s="54"/>
      <c r="AK22" s="54"/>
      <c r="AL22" s="54"/>
      <c r="AM22" s="53">
        <f>AM21-AM10</f>
        <v>0</v>
      </c>
      <c r="AN22" s="54"/>
      <c r="AO22" s="54"/>
      <c r="AP22" s="36"/>
      <c r="AU22" s="61">
        <f>AU10-AU21</f>
        <v>-3.0000000260770321E-3</v>
      </c>
      <c r="AV22" s="61">
        <f t="shared" ref="AV22:AW22" si="22">AV10-AV21</f>
        <v>0</v>
      </c>
      <c r="AW22" s="61">
        <f t="shared" si="22"/>
        <v>9.9999998928979039E-4</v>
      </c>
      <c r="AX22" s="48">
        <f>AX10-AX21</f>
        <v>-2.0000003278255463E-3</v>
      </c>
      <c r="AY22" s="55"/>
      <c r="AZ22" s="55"/>
      <c r="BA22" s="55"/>
    </row>
    <row r="23" spans="1:55" ht="22.5" x14ac:dyDescent="0.2">
      <c r="A23" s="25" t="s">
        <v>69</v>
      </c>
      <c r="B23" s="26">
        <v>649183</v>
      </c>
      <c r="C23" s="26">
        <v>939386.4</v>
      </c>
      <c r="D23" s="26">
        <v>1220474.102</v>
      </c>
      <c r="E23" s="26">
        <f>1560969.293-145415.472</f>
        <v>1415553.821</v>
      </c>
      <c r="F23" s="26">
        <f>2081826.88-193970.47</f>
        <v>1887856.41</v>
      </c>
      <c r="G23" s="26">
        <f>2352380.805-216926.179</f>
        <v>2135454.6260000002</v>
      </c>
      <c r="H23" s="26">
        <v>2260413.4369999999</v>
      </c>
      <c r="I23" s="26">
        <v>2352835.7310000001</v>
      </c>
      <c r="J23" s="26">
        <v>2650380.65</v>
      </c>
      <c r="K23" s="70">
        <f>26961.3</f>
        <v>26961.3</v>
      </c>
      <c r="L23" s="26">
        <f>J23+K23</f>
        <v>2677341.9499999997</v>
      </c>
      <c r="M23" s="154"/>
      <c r="N23" s="153"/>
      <c r="O23" s="25" t="s">
        <v>70</v>
      </c>
      <c r="P23" s="30">
        <v>51610</v>
      </c>
      <c r="Q23" s="30">
        <v>-83759.679999999993</v>
      </c>
      <c r="R23" s="30">
        <v>-209538.27</v>
      </c>
      <c r="S23" s="30">
        <f>149886.341</f>
        <v>149886.34099999999</v>
      </c>
      <c r="T23" s="30">
        <v>103381.66</v>
      </c>
      <c r="U23" s="30">
        <v>-55236.38</v>
      </c>
      <c r="V23" s="30">
        <v>0</v>
      </c>
      <c r="W23" s="30">
        <v>88175.21</v>
      </c>
      <c r="X23" s="30"/>
      <c r="Y23" s="30"/>
      <c r="Z23" s="30">
        <f t="shared" si="4"/>
        <v>0</v>
      </c>
      <c r="AA23" s="75" t="s">
        <v>71</v>
      </c>
      <c r="AB23" s="1"/>
      <c r="AC23" s="1"/>
      <c r="AD23" s="1"/>
      <c r="AE23" s="1"/>
      <c r="AY23" s="55"/>
      <c r="AZ23" s="55"/>
      <c r="BA23" s="55"/>
    </row>
    <row r="24" spans="1:55" ht="44.45" customHeight="1" x14ac:dyDescent="0.25">
      <c r="A24" s="25" t="s">
        <v>72</v>
      </c>
      <c r="B24" s="26">
        <v>5592842.5</v>
      </c>
      <c r="C24" s="26">
        <v>6589815.0999999996</v>
      </c>
      <c r="D24" s="26">
        <v>9637512.2559999991</v>
      </c>
      <c r="E24" s="26">
        <v>12307155.793</v>
      </c>
      <c r="F24" s="26">
        <v>15047453.93</v>
      </c>
      <c r="G24" s="26">
        <v>16774938.414000001</v>
      </c>
      <c r="H24" s="26">
        <v>21906469.274999999</v>
      </c>
      <c r="I24" s="26">
        <v>22778051.252</v>
      </c>
      <c r="J24" s="26">
        <v>23613260.442000002</v>
      </c>
      <c r="K24" s="26">
        <f>150+655498.1+133649.3-128900+94323.9+25858.6</f>
        <v>780579.89999999991</v>
      </c>
      <c r="L24" s="26">
        <f t="shared" ref="L24:L48" si="23">J24+K24</f>
        <v>24393840.342</v>
      </c>
      <c r="M24" s="154"/>
      <c r="N24" s="153"/>
      <c r="O24" s="76" t="s">
        <v>73</v>
      </c>
      <c r="P24" s="30">
        <f t="shared" ref="P24:X24" si="24">-(B55)</f>
        <v>4861872.2</v>
      </c>
      <c r="Q24" s="30">
        <f t="shared" si="24"/>
        <v>7702677.79</v>
      </c>
      <c r="R24" s="30">
        <f t="shared" si="24"/>
        <v>12399161.029999999</v>
      </c>
      <c r="S24" s="30">
        <f t="shared" si="24"/>
        <v>15097841.640000001</v>
      </c>
      <c r="T24" s="30">
        <f t="shared" si="24"/>
        <v>15693592.65</v>
      </c>
      <c r="U24" s="30">
        <f t="shared" si="24"/>
        <v>12825902.768999999</v>
      </c>
      <c r="V24" s="30">
        <f t="shared" si="24"/>
        <v>11011827.225</v>
      </c>
      <c r="W24" s="30">
        <f t="shared" si="24"/>
        <v>14061689.176999999</v>
      </c>
      <c r="X24" s="30">
        <f t="shared" si="24"/>
        <v>14739568.047</v>
      </c>
      <c r="Y24" s="30"/>
      <c r="Z24" s="30">
        <f>-L55</f>
        <v>14327520.15</v>
      </c>
      <c r="AA24" s="1"/>
      <c r="AB24" s="1"/>
      <c r="AC24" s="1"/>
      <c r="AD24" s="1"/>
      <c r="AE24" s="1"/>
    </row>
    <row r="25" spans="1:55" ht="40.15" customHeight="1" x14ac:dyDescent="0.25">
      <c r="A25" s="32" t="s">
        <v>74</v>
      </c>
      <c r="B25" s="77">
        <f>B14+B15</f>
        <v>2406954.1999999997</v>
      </c>
      <c r="C25" s="77">
        <f t="shared" ref="C25:I25" si="25">C14</f>
        <v>2254691.1999999997</v>
      </c>
      <c r="D25" s="77">
        <f t="shared" si="25"/>
        <v>3184704.2</v>
      </c>
      <c r="E25" s="77">
        <f t="shared" si="25"/>
        <v>2838033.7</v>
      </c>
      <c r="F25" s="77">
        <f t="shared" si="25"/>
        <v>3529613.6</v>
      </c>
      <c r="G25" s="77">
        <f>G14</f>
        <v>4202013.8</v>
      </c>
      <c r="H25" s="77">
        <f t="shared" si="25"/>
        <v>5407135.9000000004</v>
      </c>
      <c r="I25" s="77">
        <f t="shared" si="25"/>
        <v>5407135.9000000004</v>
      </c>
      <c r="J25" s="77">
        <f t="shared" ref="J25:K25" si="26">J14</f>
        <v>5901182.5</v>
      </c>
      <c r="K25" s="77">
        <f t="shared" si="26"/>
        <v>94323.9</v>
      </c>
      <c r="L25" s="26">
        <f t="shared" si="23"/>
        <v>5995506.4000000004</v>
      </c>
      <c r="M25" s="154"/>
      <c r="N25" s="153"/>
      <c r="O25" s="76" t="s">
        <v>75</v>
      </c>
      <c r="P25" s="30">
        <v>-2301337</v>
      </c>
      <c r="Q25" s="30">
        <v>-948663</v>
      </c>
      <c r="R25" s="30"/>
      <c r="S25" s="30"/>
      <c r="T25" s="30"/>
      <c r="U25" s="30">
        <v>770000</v>
      </c>
      <c r="V25" s="30">
        <f>-770000-1904441.6</f>
        <v>-2674441.6</v>
      </c>
      <c r="W25" s="30">
        <v>6053980.4000000004</v>
      </c>
      <c r="X25" s="30">
        <v>-2661542.284</v>
      </c>
      <c r="Y25" s="30">
        <v>678361.59600000002</v>
      </c>
      <c r="Z25" s="30">
        <f>X25+Y25</f>
        <v>-1983180.6880000001</v>
      </c>
      <c r="AA25" s="1"/>
      <c r="AB25" s="1"/>
      <c r="AC25" s="1"/>
      <c r="AD25" s="1"/>
      <c r="AE25" s="1"/>
    </row>
    <row r="26" spans="1:55" ht="24" customHeight="1" x14ac:dyDescent="0.25">
      <c r="A26" s="25" t="s">
        <v>76</v>
      </c>
      <c r="B26" s="30">
        <v>4047471.4</v>
      </c>
      <c r="C26" s="30">
        <v>5396432</v>
      </c>
      <c r="D26" s="30">
        <v>7108612.9819999998</v>
      </c>
      <c r="E26" s="30">
        <v>7452894.4330000002</v>
      </c>
      <c r="F26" s="30">
        <v>8249256.7699999996</v>
      </c>
      <c r="G26" s="30">
        <v>5863504.2690000003</v>
      </c>
      <c r="H26" s="30">
        <v>5201751.1459999997</v>
      </c>
      <c r="I26" s="30">
        <v>5089193.2860000003</v>
      </c>
      <c r="J26" s="30">
        <v>5113633.6129999999</v>
      </c>
      <c r="K26" s="30">
        <f>171551.1</f>
        <v>171551.1</v>
      </c>
      <c r="L26" s="26">
        <f t="shared" si="23"/>
        <v>5285184.7129999995</v>
      </c>
      <c r="M26" s="154"/>
      <c r="N26" s="157" t="s">
        <v>77</v>
      </c>
      <c r="O26" s="78" t="s">
        <v>78</v>
      </c>
      <c r="P26" s="22">
        <f>SUM(P27:P29)+0.6</f>
        <v>253693.79598000002</v>
      </c>
      <c r="Q26" s="22">
        <f>SUM(Q27:Q29)+0.564</f>
        <v>284786.01199999999</v>
      </c>
      <c r="R26" s="22">
        <f>SUM(R27:R29)+0.296</f>
        <v>277258.77600000001</v>
      </c>
      <c r="S26" s="22">
        <f>SUM(S27:S29)</f>
        <v>272352.78899999999</v>
      </c>
      <c r="T26" s="22">
        <f>SUM(T27:T30)+0.48</f>
        <v>301188</v>
      </c>
      <c r="U26" s="22">
        <f>SUM(U27:U30)</f>
        <v>247141.05200000003</v>
      </c>
      <c r="V26" s="22">
        <f>SUM(V27:V30)</f>
        <v>456000</v>
      </c>
      <c r="W26" s="22">
        <f>SUM(W27:W30)</f>
        <v>456000</v>
      </c>
      <c r="X26" s="22">
        <f>SUM(X27:X30)</f>
        <v>617000</v>
      </c>
      <c r="Y26" s="22"/>
      <c r="Z26" s="22">
        <f t="shared" si="4"/>
        <v>617000</v>
      </c>
      <c r="AA26" s="1"/>
      <c r="AB26" s="1"/>
      <c r="AC26" s="1"/>
      <c r="AD26" s="1"/>
      <c r="AE26" s="1"/>
    </row>
    <row r="27" spans="1:55" ht="24" customHeight="1" x14ac:dyDescent="0.25">
      <c r="A27" s="32" t="s">
        <v>74</v>
      </c>
      <c r="B27" s="77">
        <f t="shared" ref="B27:I27" si="27">B16</f>
        <v>3192620.8</v>
      </c>
      <c r="C27" s="77">
        <f t="shared" si="27"/>
        <v>3205419</v>
      </c>
      <c r="D27" s="77">
        <f t="shared" si="27"/>
        <v>4121560.5</v>
      </c>
      <c r="E27" s="77">
        <f t="shared" si="27"/>
        <v>4334525.7</v>
      </c>
      <c r="F27" s="77">
        <f t="shared" si="27"/>
        <v>4269656.9000000004</v>
      </c>
      <c r="G27" s="77">
        <f>G16</f>
        <v>1126026.098</v>
      </c>
      <c r="H27" s="77">
        <f t="shared" si="27"/>
        <v>0</v>
      </c>
      <c r="I27" s="77">
        <f t="shared" si="27"/>
        <v>0</v>
      </c>
      <c r="J27" s="77">
        <f t="shared" ref="J27" si="28">J16</f>
        <v>0</v>
      </c>
      <c r="K27" s="77"/>
      <c r="L27" s="26">
        <f t="shared" si="23"/>
        <v>0</v>
      </c>
      <c r="M27" s="154"/>
      <c r="N27" s="157"/>
      <c r="O27" s="79" t="s">
        <v>79</v>
      </c>
      <c r="P27" s="26">
        <v>32411.1</v>
      </c>
      <c r="Q27" s="26">
        <f>870.153</f>
        <v>870.15300000000002</v>
      </c>
      <c r="R27" s="26">
        <v>8944.42</v>
      </c>
      <c r="S27" s="26">
        <f>24624.283</f>
        <v>24624.282999999999</v>
      </c>
      <c r="T27" s="26">
        <v>5335.62</v>
      </c>
      <c r="U27" s="26">
        <v>3067.529</v>
      </c>
      <c r="V27" s="26">
        <v>6000</v>
      </c>
      <c r="W27" s="26">
        <v>6000</v>
      </c>
      <c r="X27" s="26">
        <v>7000</v>
      </c>
      <c r="Y27" s="26"/>
      <c r="Z27" s="26">
        <f t="shared" si="4"/>
        <v>7000</v>
      </c>
      <c r="AA27" s="36">
        <f>S27+S28+S29+S39+0.025</f>
        <v>304053.19300000003</v>
      </c>
      <c r="AB27" s="1"/>
      <c r="AC27" s="1"/>
      <c r="AD27" s="1"/>
      <c r="AE27" s="36">
        <f>T27+T28+T29+T30+T39+0.48</f>
        <v>319045.3</v>
      </c>
    </row>
    <row r="28" spans="1:55" ht="22.5" x14ac:dyDescent="0.25">
      <c r="A28" s="25" t="s">
        <v>80</v>
      </c>
      <c r="B28" s="30">
        <v>3801702.9</v>
      </c>
      <c r="C28" s="30">
        <v>4529069.8</v>
      </c>
      <c r="D28" s="30">
        <v>7576158.1050000004</v>
      </c>
      <c r="E28" s="30">
        <v>8401000.9820000008</v>
      </c>
      <c r="F28" s="30">
        <v>7720700.7400000002</v>
      </c>
      <c r="G28" s="30">
        <v>3636430.3470000001</v>
      </c>
      <c r="H28" s="30">
        <v>4768881.8360000001</v>
      </c>
      <c r="I28" s="30">
        <v>4776305.3820000002</v>
      </c>
      <c r="J28" s="30">
        <v>5068813.665</v>
      </c>
      <c r="K28" s="30">
        <f>5000+981.3+3942.9+3700+20050</f>
        <v>33674.199999999997</v>
      </c>
      <c r="L28" s="26">
        <f t="shared" si="23"/>
        <v>5102487.8650000002</v>
      </c>
      <c r="M28" s="154"/>
      <c r="N28" s="157"/>
      <c r="O28" s="80" t="s">
        <v>81</v>
      </c>
      <c r="P28" s="26">
        <v>152034.79999999999</v>
      </c>
      <c r="Q28" s="30">
        <v>196773.81099999999</v>
      </c>
      <c r="R28" s="30">
        <v>185774.01</v>
      </c>
      <c r="S28" s="30">
        <f>0.692+181874.022</f>
        <v>181874.71400000001</v>
      </c>
      <c r="T28" s="30">
        <v>208711.94</v>
      </c>
      <c r="U28" s="30">
        <f>144407.571+0.151</f>
        <v>144407.72200000001</v>
      </c>
      <c r="V28" s="30">
        <v>250000</v>
      </c>
      <c r="W28" s="30">
        <v>250000</v>
      </c>
      <c r="X28" s="30">
        <v>270000</v>
      </c>
      <c r="Y28" s="30"/>
      <c r="Z28" s="30">
        <f t="shared" si="4"/>
        <v>270000</v>
      </c>
      <c r="AA28" s="1"/>
      <c r="AB28" s="1"/>
      <c r="AC28" s="1"/>
      <c r="AD28" s="1"/>
      <c r="AE28" s="1"/>
    </row>
    <row r="29" spans="1:55" ht="45" x14ac:dyDescent="0.25">
      <c r="A29" s="32" t="s">
        <v>74</v>
      </c>
      <c r="B29" s="77">
        <f t="shared" ref="B29:I29" si="29">B18</f>
        <v>3146067</v>
      </c>
      <c r="C29" s="77">
        <f t="shared" si="29"/>
        <v>3629638.8000000003</v>
      </c>
      <c r="D29" s="77">
        <f t="shared" si="29"/>
        <v>5450415.3899999997</v>
      </c>
      <c r="E29" s="77">
        <f t="shared" si="29"/>
        <v>5786983.9170000004</v>
      </c>
      <c r="F29" s="77">
        <f t="shared" si="29"/>
        <v>3755866.42</v>
      </c>
      <c r="G29" s="77">
        <v>0</v>
      </c>
      <c r="H29" s="77">
        <f t="shared" si="29"/>
        <v>0</v>
      </c>
      <c r="I29" s="77">
        <f t="shared" si="29"/>
        <v>0</v>
      </c>
      <c r="J29" s="77">
        <f t="shared" ref="J29" si="30">J18</f>
        <v>0</v>
      </c>
      <c r="K29" s="77"/>
      <c r="L29" s="26">
        <f t="shared" si="23"/>
        <v>0</v>
      </c>
      <c r="M29" s="154"/>
      <c r="N29" s="157"/>
      <c r="O29" s="79" t="s">
        <v>82</v>
      </c>
      <c r="P29" s="26">
        <v>69247.29598000001</v>
      </c>
      <c r="Q29" s="26">
        <v>87141.483999999997</v>
      </c>
      <c r="R29" s="26">
        <v>82540.05</v>
      </c>
      <c r="S29" s="26">
        <v>65853.792000000001</v>
      </c>
      <c r="T29" s="26">
        <v>82399.960000000006</v>
      </c>
      <c r="U29" s="26">
        <v>54765.800999999999</v>
      </c>
      <c r="V29" s="26">
        <v>100000</v>
      </c>
      <c r="W29" s="26">
        <v>100000</v>
      </c>
      <c r="X29" s="26">
        <v>100000</v>
      </c>
      <c r="Y29" s="26"/>
      <c r="Z29" s="26">
        <f t="shared" si="4"/>
        <v>100000</v>
      </c>
      <c r="AA29" s="1"/>
      <c r="AB29" s="1"/>
      <c r="AC29" s="1"/>
      <c r="AD29" s="1"/>
      <c r="AE29" s="1"/>
    </row>
    <row r="30" spans="1:55" ht="45" x14ac:dyDescent="0.25">
      <c r="A30" s="25" t="s">
        <v>83</v>
      </c>
      <c r="B30" s="26">
        <v>675534.6</v>
      </c>
      <c r="C30" s="26">
        <v>807662.7</v>
      </c>
      <c r="D30" s="26">
        <v>1192727.5519999999</v>
      </c>
      <c r="E30" s="26">
        <v>830238.22400000005</v>
      </c>
      <c r="F30" s="26">
        <v>977951.25</v>
      </c>
      <c r="G30" s="26">
        <v>1007102.226</v>
      </c>
      <c r="H30" s="26">
        <v>1301588.3559999999</v>
      </c>
      <c r="I30" s="26">
        <v>1328114.456</v>
      </c>
      <c r="J30" s="26">
        <v>1384330.41</v>
      </c>
      <c r="K30" s="26">
        <f>15250.8</f>
        <v>15250.8</v>
      </c>
      <c r="L30" s="26">
        <f t="shared" si="23"/>
        <v>1399581.21</v>
      </c>
      <c r="M30" s="154"/>
      <c r="N30" s="157"/>
      <c r="O30" s="79" t="s">
        <v>84</v>
      </c>
      <c r="P30" s="26"/>
      <c r="Q30" s="26"/>
      <c r="R30" s="26"/>
      <c r="S30" s="26">
        <v>0</v>
      </c>
      <c r="T30" s="26">
        <v>4740</v>
      </c>
      <c r="U30" s="26">
        <v>44900</v>
      </c>
      <c r="V30" s="26">
        <v>100000</v>
      </c>
      <c r="W30" s="26">
        <v>100000</v>
      </c>
      <c r="X30" s="26">
        <v>240000</v>
      </c>
      <c r="Y30" s="26"/>
      <c r="Z30" s="26">
        <f t="shared" si="4"/>
        <v>240000</v>
      </c>
      <c r="AA30" s="1"/>
      <c r="AB30" s="1"/>
      <c r="AC30" s="1"/>
      <c r="AD30" s="1"/>
      <c r="AE30" s="1"/>
    </row>
    <row r="31" spans="1:55" ht="20.25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>
        <f t="shared" si="23"/>
        <v>0</v>
      </c>
      <c r="M31" s="154"/>
      <c r="N31" s="157"/>
      <c r="O31" s="81" t="s">
        <v>85</v>
      </c>
      <c r="P31" s="35">
        <f>P32+P33</f>
        <v>240551.8</v>
      </c>
      <c r="Q31" s="35">
        <f>Q32+Q33</f>
        <v>271317.61499999999</v>
      </c>
      <c r="R31" s="35">
        <f>R32+R33</f>
        <v>266992.68</v>
      </c>
      <c r="S31" s="35">
        <f>S32+S33</f>
        <v>283995.49600000004</v>
      </c>
      <c r="T31" s="35">
        <f>T32+T33-0.01</f>
        <v>297277.55</v>
      </c>
      <c r="U31" s="35">
        <f>U32+U33</f>
        <v>280906.92800000001</v>
      </c>
      <c r="V31" s="35">
        <f>V32+V33</f>
        <v>456000</v>
      </c>
      <c r="W31" s="35">
        <f>W32+W33</f>
        <v>490605.98</v>
      </c>
      <c r="X31" s="35">
        <f>X32+X33</f>
        <v>617000</v>
      </c>
      <c r="Y31" s="35"/>
      <c r="Z31" s="35">
        <f t="shared" si="4"/>
        <v>617000</v>
      </c>
      <c r="AA31" s="1"/>
      <c r="AB31" s="1"/>
      <c r="AC31" s="1"/>
      <c r="AD31" s="1"/>
      <c r="AE31" s="82">
        <f>T27+T28+0.48-T32</f>
        <v>-2373.9799999999814</v>
      </c>
    </row>
    <row r="32" spans="1:55" ht="22.5" x14ac:dyDescent="0.25">
      <c r="A32" s="25" t="s">
        <v>86</v>
      </c>
      <c r="B32" s="26">
        <v>33723.599999999999</v>
      </c>
      <c r="C32" s="26">
        <v>36699.5</v>
      </c>
      <c r="D32" s="26">
        <v>57340.783000000003</v>
      </c>
      <c r="E32" s="83">
        <v>79898.547000000006</v>
      </c>
      <c r="F32" s="83">
        <v>108332.27</v>
      </c>
      <c r="G32" s="26">
        <v>147832.921</v>
      </c>
      <c r="H32" s="26">
        <v>178019.3</v>
      </c>
      <c r="I32" s="26">
        <v>178692.7</v>
      </c>
      <c r="J32" s="26">
        <v>189690.2</v>
      </c>
      <c r="K32" s="26"/>
      <c r="L32" s="26">
        <f t="shared" si="23"/>
        <v>189690.2</v>
      </c>
      <c r="M32" s="154"/>
      <c r="N32" s="157"/>
      <c r="O32" s="25" t="s">
        <v>87</v>
      </c>
      <c r="P32" s="26">
        <v>171765.1</v>
      </c>
      <c r="Q32" s="30">
        <v>197901.88699999999</v>
      </c>
      <c r="R32" s="30">
        <v>207541.25</v>
      </c>
      <c r="S32" s="30">
        <v>180998.28400000001</v>
      </c>
      <c r="T32" s="30">
        <f>216422.02</f>
        <v>216422.02</v>
      </c>
      <c r="U32" s="30">
        <v>219163.948</v>
      </c>
      <c r="V32" s="30">
        <f>356000</f>
        <v>356000</v>
      </c>
      <c r="W32" s="30">
        <f>356000+34605.98</f>
        <v>390605.98</v>
      </c>
      <c r="X32" s="30">
        <f>X27+X28+X29</f>
        <v>377000</v>
      </c>
      <c r="Y32" s="30"/>
      <c r="Z32" s="30">
        <f t="shared" si="4"/>
        <v>377000</v>
      </c>
      <c r="AA32" s="1"/>
      <c r="AB32" s="1"/>
      <c r="AC32" s="1"/>
      <c r="AD32" s="1"/>
      <c r="AE32" s="82">
        <f>T29+T30-T33</f>
        <v>6284.4200000000128</v>
      </c>
    </row>
    <row r="33" spans="1:26" ht="22.5" x14ac:dyDescent="0.25">
      <c r="A33" s="25"/>
      <c r="B33" s="26"/>
      <c r="C33" s="26"/>
      <c r="D33" s="26"/>
      <c r="E33" s="26"/>
      <c r="F33" s="26"/>
      <c r="G33" s="70"/>
      <c r="H33" s="26"/>
      <c r="I33" s="26"/>
      <c r="J33" s="26"/>
      <c r="K33" s="26"/>
      <c r="L33" s="26">
        <f t="shared" si="23"/>
        <v>0</v>
      </c>
      <c r="M33" s="154"/>
      <c r="N33" s="157"/>
      <c r="O33" s="84" t="s">
        <v>88</v>
      </c>
      <c r="P33" s="26">
        <v>68786.7</v>
      </c>
      <c r="Q33" s="26">
        <v>73415.728000000003</v>
      </c>
      <c r="R33" s="26">
        <v>59451.43</v>
      </c>
      <c r="S33" s="26">
        <v>102997.212</v>
      </c>
      <c r="T33" s="26">
        <f>76415.54+4440</f>
        <v>80855.539999999994</v>
      </c>
      <c r="U33" s="26">
        <v>61742.98</v>
      </c>
      <c r="V33" s="26">
        <v>100000</v>
      </c>
      <c r="W33" s="26">
        <v>100000</v>
      </c>
      <c r="X33" s="26">
        <f>X30</f>
        <v>240000</v>
      </c>
      <c r="Y33" s="26"/>
      <c r="Z33" s="26">
        <f t="shared" si="4"/>
        <v>240000</v>
      </c>
    </row>
    <row r="34" spans="1:26" ht="22.5" x14ac:dyDescent="0.25">
      <c r="A34" s="25" t="s">
        <v>89</v>
      </c>
      <c r="B34" s="26">
        <v>209179.7</v>
      </c>
      <c r="C34" s="26">
        <v>250434</v>
      </c>
      <c r="D34" s="26">
        <v>348178.38900000002</v>
      </c>
      <c r="E34" s="26">
        <v>466120.96500000003</v>
      </c>
      <c r="F34" s="26">
        <v>609693.82999999996</v>
      </c>
      <c r="G34" s="26">
        <v>796226.95799999998</v>
      </c>
      <c r="H34" s="26">
        <v>1190225.308</v>
      </c>
      <c r="I34" s="26">
        <v>1202604.085</v>
      </c>
      <c r="J34" s="26">
        <v>1240719.787</v>
      </c>
      <c r="K34" s="70">
        <f>17994.4+1663</f>
        <v>19657.400000000001</v>
      </c>
      <c r="L34" s="26">
        <f t="shared" si="23"/>
        <v>1260377.1869999999</v>
      </c>
      <c r="M34" s="154"/>
      <c r="N34" s="157"/>
      <c r="O34" s="71" t="s">
        <v>66</v>
      </c>
      <c r="P34" s="72">
        <f t="shared" ref="P34:W34" si="31">P26-P31</f>
        <v>13141.995980000036</v>
      </c>
      <c r="Q34" s="72">
        <f t="shared" si="31"/>
        <v>13468.396999999997</v>
      </c>
      <c r="R34" s="72">
        <f t="shared" si="31"/>
        <v>10266.09600000002</v>
      </c>
      <c r="S34" s="72">
        <f t="shared" si="31"/>
        <v>-11642.707000000053</v>
      </c>
      <c r="T34" s="72">
        <f t="shared" si="31"/>
        <v>3910.4500000000116</v>
      </c>
      <c r="U34" s="72">
        <f t="shared" si="31"/>
        <v>-33765.875999999989</v>
      </c>
      <c r="V34" s="72">
        <f t="shared" si="31"/>
        <v>0</v>
      </c>
      <c r="W34" s="72">
        <f t="shared" si="31"/>
        <v>-34605.979999999981</v>
      </c>
      <c r="X34" s="72">
        <f t="shared" ref="X34" si="32">X26-X31</f>
        <v>0</v>
      </c>
      <c r="Y34" s="72"/>
      <c r="Z34" s="72">
        <f t="shared" si="4"/>
        <v>0</v>
      </c>
    </row>
    <row r="35" spans="1:26" ht="22.5" x14ac:dyDescent="0.25">
      <c r="A35" s="85" t="s">
        <v>74</v>
      </c>
      <c r="B35" s="33">
        <f>B17</f>
        <v>29200</v>
      </c>
      <c r="C35" s="33"/>
      <c r="D35" s="33"/>
      <c r="E35" s="33"/>
      <c r="F35" s="33"/>
      <c r="G35" s="86"/>
      <c r="H35" s="33"/>
      <c r="I35" s="33"/>
      <c r="J35" s="33"/>
      <c r="K35" s="33"/>
      <c r="L35" s="26">
        <f t="shared" si="23"/>
        <v>0</v>
      </c>
      <c r="M35" s="154"/>
      <c r="N35" s="157"/>
      <c r="O35" s="71" t="s">
        <v>68</v>
      </c>
      <c r="P35" s="72">
        <f t="shared" ref="P35:X35" si="33">P36</f>
        <v>0</v>
      </c>
      <c r="Q35" s="72">
        <f t="shared" si="33"/>
        <v>-13468.4</v>
      </c>
      <c r="R35" s="72">
        <f t="shared" si="33"/>
        <v>-10266.1</v>
      </c>
      <c r="S35" s="72">
        <f t="shared" si="33"/>
        <v>11642.706999999999</v>
      </c>
      <c r="T35" s="72">
        <f>-T34</f>
        <v>-3910.4500000000116</v>
      </c>
      <c r="U35" s="72">
        <f t="shared" si="33"/>
        <v>33765.877</v>
      </c>
      <c r="V35" s="72">
        <f t="shared" si="33"/>
        <v>0</v>
      </c>
      <c r="W35" s="72">
        <f t="shared" si="33"/>
        <v>34605.978000000003</v>
      </c>
      <c r="X35" s="72">
        <f t="shared" si="33"/>
        <v>0</v>
      </c>
      <c r="Y35" s="72"/>
      <c r="Z35" s="72">
        <f t="shared" si="4"/>
        <v>0</v>
      </c>
    </row>
    <row r="36" spans="1:26" ht="22.5" x14ac:dyDescent="0.25">
      <c r="A36" s="25" t="s">
        <v>90</v>
      </c>
      <c r="B36" s="26">
        <v>1348846.2</v>
      </c>
      <c r="C36" s="26">
        <v>1624377.9</v>
      </c>
      <c r="D36" s="26">
        <v>1065932.118</v>
      </c>
      <c r="E36" s="26">
        <v>814892.34499999997</v>
      </c>
      <c r="F36" s="26">
        <v>931972.04</v>
      </c>
      <c r="G36" s="26">
        <v>1191936.993</v>
      </c>
      <c r="H36" s="26">
        <v>1436009.919</v>
      </c>
      <c r="I36" s="26">
        <v>1523502.922</v>
      </c>
      <c r="J36" s="26">
        <f>31412.061+1439719.002</f>
        <v>1471131.0630000001</v>
      </c>
      <c r="K36" s="26">
        <f>60000+40000+1691.5</f>
        <v>101691.5</v>
      </c>
      <c r="L36" s="26">
        <f t="shared" si="23"/>
        <v>1572822.5630000001</v>
      </c>
      <c r="M36" s="154"/>
      <c r="N36" s="158"/>
      <c r="O36" s="25" t="s">
        <v>70</v>
      </c>
      <c r="P36" s="30"/>
      <c r="Q36" s="30">
        <v>-13468.4</v>
      </c>
      <c r="R36" s="30">
        <v>-10266.1</v>
      </c>
      <c r="S36" s="30">
        <f>-25500.713+37143.42</f>
        <v>11642.706999999999</v>
      </c>
      <c r="T36" s="30">
        <v>-3910.45</v>
      </c>
      <c r="U36" s="30">
        <v>33765.877</v>
      </c>
      <c r="V36" s="30">
        <v>0</v>
      </c>
      <c r="W36" s="30">
        <v>34605.978000000003</v>
      </c>
      <c r="X36" s="30"/>
      <c r="Y36" s="30"/>
      <c r="Z36" s="30">
        <f t="shared" si="4"/>
        <v>0</v>
      </c>
    </row>
    <row r="37" spans="1:26" ht="43.5" x14ac:dyDescent="0.25">
      <c r="A37" s="25"/>
      <c r="B37" s="26">
        <v>373545.1</v>
      </c>
      <c r="C37" s="26"/>
      <c r="D37" s="26"/>
      <c r="E37" s="26"/>
      <c r="F37" s="26"/>
      <c r="G37" s="70"/>
      <c r="H37" s="26"/>
      <c r="I37" s="26"/>
      <c r="J37" s="26"/>
      <c r="K37" s="26"/>
      <c r="L37" s="26">
        <f t="shared" si="23"/>
        <v>0</v>
      </c>
      <c r="M37" s="154"/>
      <c r="N37" s="159" t="s">
        <v>91</v>
      </c>
      <c r="O37" s="78" t="s">
        <v>92</v>
      </c>
      <c r="P37" s="22">
        <f t="shared" ref="P37:W37" si="34">P38+P39+P40</f>
        <v>25270.3</v>
      </c>
      <c r="Q37" s="22">
        <f t="shared" si="34"/>
        <v>62943.519</v>
      </c>
      <c r="R37" s="22">
        <f t="shared" si="34"/>
        <v>80640.929999999993</v>
      </c>
      <c r="S37" s="22">
        <f t="shared" si="34"/>
        <v>80098.148000000001</v>
      </c>
      <c r="T37" s="22">
        <f t="shared" si="34"/>
        <v>59616.09</v>
      </c>
      <c r="U37" s="22">
        <f t="shared" si="34"/>
        <v>50822.265999999996</v>
      </c>
      <c r="V37" s="22">
        <f t="shared" si="34"/>
        <v>65520</v>
      </c>
      <c r="W37" s="22">
        <f t="shared" si="34"/>
        <v>79275.928</v>
      </c>
      <c r="X37" s="22">
        <f t="shared" ref="X37" si="35">X38+X39+X40</f>
        <v>89370</v>
      </c>
      <c r="Y37" s="22"/>
      <c r="Z37" s="22">
        <f t="shared" si="4"/>
        <v>89370</v>
      </c>
    </row>
    <row r="38" spans="1:26" ht="45" x14ac:dyDescent="0.25">
      <c r="A38" s="65" t="s">
        <v>93</v>
      </c>
      <c r="B38" s="26">
        <v>1165330.5</v>
      </c>
      <c r="C38" s="26">
        <v>1306122.1000000001</v>
      </c>
      <c r="D38" s="26">
        <v>2297239.7319999998</v>
      </c>
      <c r="E38" s="26">
        <v>2251285.673</v>
      </c>
      <c r="F38" s="26">
        <f>2719948.85+226780.63</f>
        <v>2946729.48</v>
      </c>
      <c r="G38" s="26">
        <f>4934739.545+263321.715</f>
        <v>5198061.26</v>
      </c>
      <c r="H38" s="26">
        <v>3456327.8969999999</v>
      </c>
      <c r="I38" s="26">
        <v>5891327.8969999999</v>
      </c>
      <c r="J38" s="26">
        <f>2912012.071+375501.386</f>
        <v>3287513.4569999999</v>
      </c>
      <c r="K38" s="26">
        <f>500000</f>
        <v>500000</v>
      </c>
      <c r="L38" s="26">
        <f t="shared" si="23"/>
        <v>3787513.4569999999</v>
      </c>
      <c r="M38" s="154"/>
      <c r="N38" s="159"/>
      <c r="O38" s="87" t="s">
        <v>94</v>
      </c>
      <c r="P38" s="66">
        <v>4305.5</v>
      </c>
      <c r="Q38" s="66">
        <f>43170+4455.941</f>
        <v>47625.940999999999</v>
      </c>
      <c r="R38" s="66">
        <v>65596.789999999994</v>
      </c>
      <c r="S38" s="66">
        <f>42156.64-225.303+3287.209+3014.877</f>
        <v>48233.423000000003</v>
      </c>
      <c r="T38" s="66">
        <f>36414.78+1.41+3442.74+252.27</f>
        <v>40111.199999999997</v>
      </c>
      <c r="U38" s="66">
        <v>36911.629999999997</v>
      </c>
      <c r="V38" s="66">
        <v>39520</v>
      </c>
      <c r="W38" s="66">
        <v>39520</v>
      </c>
      <c r="X38" s="66">
        <f>3600+35770</f>
        <v>39370</v>
      </c>
      <c r="Y38" s="66"/>
      <c r="Z38" s="66">
        <f t="shared" si="4"/>
        <v>39370</v>
      </c>
    </row>
    <row r="39" spans="1:26" ht="22.5" x14ac:dyDescent="0.25">
      <c r="A39" s="85" t="s">
        <v>74</v>
      </c>
      <c r="B39" s="26">
        <v>180344</v>
      </c>
      <c r="C39" s="26"/>
      <c r="D39" s="26"/>
      <c r="E39" s="26"/>
      <c r="F39" s="26"/>
      <c r="G39" s="70"/>
      <c r="H39" s="26"/>
      <c r="I39" s="26"/>
      <c r="J39" s="26"/>
      <c r="K39" s="26"/>
      <c r="L39" s="26">
        <f t="shared" si="23"/>
        <v>0</v>
      </c>
      <c r="M39" s="154"/>
      <c r="N39" s="159"/>
      <c r="O39" s="87" t="s">
        <v>95</v>
      </c>
      <c r="P39" s="66">
        <v>8843.2999999999993</v>
      </c>
      <c r="Q39" s="66">
        <v>15151.436</v>
      </c>
      <c r="R39" s="66">
        <v>14286.82</v>
      </c>
      <c r="S39" s="66">
        <v>31700.379000000001</v>
      </c>
      <c r="T39" s="66">
        <v>17857.3</v>
      </c>
      <c r="U39" s="66">
        <v>13907.544</v>
      </c>
      <c r="V39" s="66">
        <v>26000</v>
      </c>
      <c r="W39" s="66">
        <v>26000</v>
      </c>
      <c r="X39" s="66">
        <v>50000</v>
      </c>
      <c r="Y39" s="66"/>
      <c r="Z39" s="66">
        <f t="shared" si="4"/>
        <v>50000</v>
      </c>
    </row>
    <row r="40" spans="1:26" ht="22.5" x14ac:dyDescent="0.25">
      <c r="A40" s="88"/>
      <c r="B40" s="26"/>
      <c r="C40" s="33"/>
      <c r="D40" s="33"/>
      <c r="E40" s="33"/>
      <c r="F40" s="33"/>
      <c r="G40" s="86"/>
      <c r="H40" s="33"/>
      <c r="I40" s="33"/>
      <c r="J40" s="33"/>
      <c r="K40" s="33"/>
      <c r="L40" s="26">
        <f t="shared" si="23"/>
        <v>0</v>
      </c>
      <c r="M40" s="154"/>
      <c r="N40" s="159"/>
      <c r="O40" s="87" t="s">
        <v>96</v>
      </c>
      <c r="P40" s="66">
        <v>12121.5</v>
      </c>
      <c r="Q40" s="66">
        <v>166.142</v>
      </c>
      <c r="R40" s="66">
        <v>757.32</v>
      </c>
      <c r="S40" s="66">
        <v>164.346</v>
      </c>
      <c r="T40" s="66">
        <v>1647.59</v>
      </c>
      <c r="U40" s="66">
        <v>3.0920000000000001</v>
      </c>
      <c r="V40" s="66">
        <v>0</v>
      </c>
      <c r="W40" s="66">
        <v>13755.928</v>
      </c>
      <c r="X40" s="66">
        <v>0</v>
      </c>
      <c r="Y40" s="66"/>
      <c r="Z40" s="66">
        <f t="shared" si="4"/>
        <v>0</v>
      </c>
    </row>
    <row r="41" spans="1:26" ht="43.5" x14ac:dyDescent="0.25">
      <c r="A41" s="25" t="s">
        <v>97</v>
      </c>
      <c r="B41" s="26">
        <f>900+183.9</f>
        <v>1083.9000000000001</v>
      </c>
      <c r="C41" s="26"/>
      <c r="D41" s="26">
        <v>124.5</v>
      </c>
      <c r="E41" s="83">
        <v>0</v>
      </c>
      <c r="F41" s="26">
        <v>1635.93</v>
      </c>
      <c r="G41" s="26">
        <v>0</v>
      </c>
      <c r="H41" s="26">
        <v>540</v>
      </c>
      <c r="I41" s="26">
        <v>540</v>
      </c>
      <c r="J41" s="26">
        <v>540</v>
      </c>
      <c r="K41" s="26"/>
      <c r="L41" s="26">
        <f t="shared" si="23"/>
        <v>540</v>
      </c>
      <c r="M41" s="154"/>
      <c r="N41" s="159"/>
      <c r="O41" s="81" t="s">
        <v>98</v>
      </c>
      <c r="P41" s="35">
        <f>P42+P43+P44</f>
        <v>57844</v>
      </c>
      <c r="Q41" s="35">
        <f>Q42+Q43+Q44</f>
        <v>45992.65</v>
      </c>
      <c r="R41" s="35">
        <f>R42+R43+R44</f>
        <v>84280.72</v>
      </c>
      <c r="S41" s="35">
        <f>S42+S43+S44</f>
        <v>114313.29699999999</v>
      </c>
      <c r="T41" s="35">
        <f>T42+T43+T44-0.01</f>
        <v>66054.03</v>
      </c>
      <c r="U41" s="35">
        <f>U42+U43+U44</f>
        <v>43668.95</v>
      </c>
      <c r="V41" s="35">
        <f>V42+V43+V44</f>
        <v>65520</v>
      </c>
      <c r="W41" s="35">
        <f>W42+W43+W44</f>
        <v>89067.758000000002</v>
      </c>
      <c r="X41" s="35">
        <f>X42+X43+X44</f>
        <v>89370</v>
      </c>
      <c r="Y41" s="35"/>
      <c r="Z41" s="35">
        <f t="shared" si="4"/>
        <v>89370</v>
      </c>
    </row>
    <row r="42" spans="1:26" ht="22.5" x14ac:dyDescent="0.25">
      <c r="A42" s="25"/>
      <c r="B42" s="26"/>
      <c r="C42" s="26"/>
      <c r="D42" s="26"/>
      <c r="E42" s="26"/>
      <c r="F42" s="26"/>
      <c r="G42" s="70"/>
      <c r="H42" s="26"/>
      <c r="I42" s="26"/>
      <c r="J42" s="26"/>
      <c r="K42" s="26"/>
      <c r="L42" s="26">
        <f t="shared" si="23"/>
        <v>0</v>
      </c>
      <c r="M42" s="154"/>
      <c r="N42" s="159"/>
      <c r="O42" s="89" t="s">
        <v>99</v>
      </c>
      <c r="P42" s="30">
        <v>44747.9</v>
      </c>
      <c r="Q42" s="30">
        <v>28939.850999999999</v>
      </c>
      <c r="R42" s="66">
        <v>67410.39</v>
      </c>
      <c r="S42" s="66">
        <v>80430.475999999995</v>
      </c>
      <c r="T42" s="66">
        <v>43848.68</v>
      </c>
      <c r="U42" s="66">
        <v>27675.974999999999</v>
      </c>
      <c r="V42" s="66">
        <v>39520</v>
      </c>
      <c r="W42" s="66">
        <f>39520+9560.754</f>
        <v>49080.754000000001</v>
      </c>
      <c r="X42" s="66">
        <f>X38</f>
        <v>39370</v>
      </c>
      <c r="Y42" s="66"/>
      <c r="Z42" s="66">
        <f t="shared" si="4"/>
        <v>39370</v>
      </c>
    </row>
    <row r="43" spans="1:26" ht="45" x14ac:dyDescent="0.25">
      <c r="A43" s="65" t="s">
        <v>100</v>
      </c>
      <c r="B43" s="26">
        <v>8342.9</v>
      </c>
      <c r="C43" s="26">
        <v>9017.1</v>
      </c>
      <c r="D43" s="26">
        <v>20862.108</v>
      </c>
      <c r="E43" s="26">
        <v>25019.524000000001</v>
      </c>
      <c r="F43" s="26">
        <v>28041.98</v>
      </c>
      <c r="G43" s="26">
        <v>36100.821000000004</v>
      </c>
      <c r="H43" s="26">
        <v>39871</v>
      </c>
      <c r="I43" s="26">
        <v>39871</v>
      </c>
      <c r="J43" s="26">
        <v>48155.73</v>
      </c>
      <c r="K43" s="26"/>
      <c r="L43" s="26">
        <f t="shared" si="23"/>
        <v>48155.73</v>
      </c>
      <c r="M43" s="154"/>
      <c r="N43" s="159"/>
      <c r="O43" s="90" t="s">
        <v>101</v>
      </c>
      <c r="P43" s="30">
        <v>13096.1</v>
      </c>
      <c r="Q43" s="30">
        <v>12706.2</v>
      </c>
      <c r="R43" s="66">
        <v>16870.330000000002</v>
      </c>
      <c r="S43" s="66">
        <v>33882.821000000004</v>
      </c>
      <c r="T43" s="66">
        <v>21936.71</v>
      </c>
      <c r="U43" s="66">
        <v>13920.222</v>
      </c>
      <c r="V43" s="66">
        <v>26000</v>
      </c>
      <c r="W43" s="66">
        <v>26000</v>
      </c>
      <c r="X43" s="66">
        <v>50000</v>
      </c>
      <c r="Y43" s="66"/>
      <c r="Z43" s="66">
        <f t="shared" si="4"/>
        <v>50000</v>
      </c>
    </row>
    <row r="44" spans="1:26" ht="22.5" x14ac:dyDescent="0.25">
      <c r="A44" s="65"/>
      <c r="B44" s="26"/>
      <c r="C44" s="26"/>
      <c r="D44" s="26"/>
      <c r="E44" s="26"/>
      <c r="F44" s="26"/>
      <c r="G44" s="70"/>
      <c r="H44" s="26"/>
      <c r="I44" s="26"/>
      <c r="J44" s="26"/>
      <c r="K44" s="26"/>
      <c r="L44" s="26">
        <f t="shared" si="23"/>
        <v>0</v>
      </c>
      <c r="M44" s="154"/>
      <c r="N44" s="159"/>
      <c r="O44" s="90" t="s">
        <v>102</v>
      </c>
      <c r="P44" s="30">
        <v>0</v>
      </c>
      <c r="Q44" s="30">
        <v>4346.5990000000002</v>
      </c>
      <c r="R44" s="30">
        <v>0</v>
      </c>
      <c r="S44" s="30">
        <v>0</v>
      </c>
      <c r="T44" s="30">
        <v>268.64999999999998</v>
      </c>
      <c r="U44" s="66">
        <v>2072.7530000000002</v>
      </c>
      <c r="V44" s="66">
        <v>0</v>
      </c>
      <c r="W44" s="66">
        <f>13987.004</f>
        <v>13987.004000000001</v>
      </c>
      <c r="X44" s="66"/>
      <c r="Y44" s="66"/>
      <c r="Z44" s="66">
        <f t="shared" si="4"/>
        <v>0</v>
      </c>
    </row>
    <row r="45" spans="1:26" ht="22.5" x14ac:dyDescent="0.25">
      <c r="A45" s="25" t="s">
        <v>103</v>
      </c>
      <c r="B45" s="30">
        <v>1576847</v>
      </c>
      <c r="C45" s="30">
        <f>281438.6+598484.881</f>
        <v>879923.48100000003</v>
      </c>
      <c r="D45" s="30">
        <f>15059.668+719743.159</f>
        <v>734802.82699999993</v>
      </c>
      <c r="E45" s="30">
        <f>393445.321+738939.574</f>
        <v>1132384.895</v>
      </c>
      <c r="F45" s="30">
        <f>231543.35+710796.05</f>
        <v>942339.4</v>
      </c>
      <c r="G45" s="30">
        <f>250486.765+1495134.519</f>
        <v>1745621.284</v>
      </c>
      <c r="H45" s="30">
        <v>1109292.1029999999</v>
      </c>
      <c r="I45" s="30">
        <v>405491.033</v>
      </c>
      <c r="J45" s="30">
        <v>863353.19499999995</v>
      </c>
      <c r="K45" s="30">
        <f>-275534.383</f>
        <v>-275534.38299999997</v>
      </c>
      <c r="L45" s="26">
        <f t="shared" si="23"/>
        <v>587818.81199999992</v>
      </c>
      <c r="M45" s="154"/>
      <c r="N45" s="159"/>
      <c r="O45" s="91" t="s">
        <v>66</v>
      </c>
      <c r="P45" s="72">
        <f t="shared" ref="P45:W45" si="36">P37-P41</f>
        <v>-32573.7</v>
      </c>
      <c r="Q45" s="72">
        <f t="shared" si="36"/>
        <v>16950.868999999999</v>
      </c>
      <c r="R45" s="72">
        <f t="shared" si="36"/>
        <v>-3639.7900000000081</v>
      </c>
      <c r="S45" s="72">
        <f t="shared" si="36"/>
        <v>-34215.14899999999</v>
      </c>
      <c r="T45" s="72">
        <f t="shared" si="36"/>
        <v>-6437.9400000000023</v>
      </c>
      <c r="U45" s="72">
        <f t="shared" si="36"/>
        <v>7153.3159999999989</v>
      </c>
      <c r="V45" s="72">
        <f t="shared" si="36"/>
        <v>0</v>
      </c>
      <c r="W45" s="72">
        <f t="shared" si="36"/>
        <v>-9791.8300000000017</v>
      </c>
      <c r="X45" s="72">
        <f t="shared" ref="X45" si="37">X37-X41</f>
        <v>0</v>
      </c>
      <c r="Y45" s="72"/>
      <c r="Z45" s="72">
        <f t="shared" si="4"/>
        <v>0</v>
      </c>
    </row>
    <row r="46" spans="1:26" ht="22.5" x14ac:dyDescent="0.25">
      <c r="A46" s="85" t="s">
        <v>74</v>
      </c>
      <c r="B46" s="62"/>
      <c r="C46" s="92"/>
      <c r="D46" s="62"/>
      <c r="E46" s="62"/>
      <c r="F46" s="62"/>
      <c r="G46" s="93"/>
      <c r="H46" s="62"/>
      <c r="I46" s="62"/>
      <c r="J46" s="62"/>
      <c r="K46" s="62"/>
      <c r="L46" s="26">
        <f t="shared" si="23"/>
        <v>0</v>
      </c>
      <c r="M46" s="154"/>
      <c r="N46" s="159"/>
      <c r="O46" s="71" t="s">
        <v>68</v>
      </c>
      <c r="P46" s="72">
        <f t="shared" ref="P46:X46" si="38">P47</f>
        <v>0</v>
      </c>
      <c r="Q46" s="72">
        <f t="shared" si="38"/>
        <v>-16950.87</v>
      </c>
      <c r="R46" s="72">
        <f t="shared" si="38"/>
        <v>3639.79</v>
      </c>
      <c r="S46" s="72">
        <f t="shared" si="38"/>
        <v>34215.148000000001</v>
      </c>
      <c r="T46" s="72">
        <v>6437.94</v>
      </c>
      <c r="U46" s="72">
        <f t="shared" si="38"/>
        <v>-7153.3159999999998</v>
      </c>
      <c r="V46" s="72">
        <f t="shared" si="38"/>
        <v>0</v>
      </c>
      <c r="W46" s="72">
        <f t="shared" si="38"/>
        <v>9791.83</v>
      </c>
      <c r="X46" s="72">
        <f t="shared" si="38"/>
        <v>0</v>
      </c>
      <c r="Y46" s="72"/>
      <c r="Z46" s="72">
        <f t="shared" si="4"/>
        <v>0</v>
      </c>
    </row>
    <row r="47" spans="1:26" ht="22.5" x14ac:dyDescent="0.25">
      <c r="A47" s="25" t="s">
        <v>104</v>
      </c>
      <c r="B47" s="26">
        <v>290104.2</v>
      </c>
      <c r="C47" s="26">
        <f>1098473.11-213609.71-598484.881</f>
        <v>286378.51900000009</v>
      </c>
      <c r="D47" s="26">
        <f>1307879.044-719743.159-D41-11.23</f>
        <v>588000.15500000003</v>
      </c>
      <c r="E47" s="26">
        <f>235957.806+22003.1+76243.465+2545.7+859686.493+3740.791+8359.616+145415.472+0.01+79650-738939.574</f>
        <v>694662.87899999996</v>
      </c>
      <c r="F47" s="26">
        <f>193970.47+1081033.65+27405.64+10322.95+20607.33+36682.39+3391.7-710796.05</f>
        <v>662618.07999999961</v>
      </c>
      <c r="G47" s="26">
        <f>216926.179+2011265.748+506841.141-36100.821-147832.921-250486.765+38385.14+3391.7-(1495134.519)</f>
        <v>847254.88199999998</v>
      </c>
      <c r="H47" s="26">
        <f>1145704.669-540</f>
        <v>1145164.669</v>
      </c>
      <c r="I47" s="26">
        <f>1268501.33-I41</f>
        <v>1267961.33</v>
      </c>
      <c r="J47" s="26">
        <f>3881282.873+2564327.235-J32-J41-J43-J45-J38</f>
        <v>2056357.5259999991</v>
      </c>
      <c r="K47" s="26">
        <f>-955979.08+120000+12934.586+5715.9</f>
        <v>-817328.59399999992</v>
      </c>
      <c r="L47" s="26">
        <f t="shared" si="23"/>
        <v>1239028.9319999991</v>
      </c>
      <c r="M47" s="154"/>
      <c r="N47" s="160"/>
      <c r="O47" s="25" t="s">
        <v>70</v>
      </c>
      <c r="P47" s="30"/>
      <c r="Q47" s="30">
        <v>-16950.87</v>
      </c>
      <c r="R47" s="30">
        <v>3639.79</v>
      </c>
      <c r="S47" s="30">
        <f>32197.053+2182.441-164.346</f>
        <v>34215.148000000001</v>
      </c>
      <c r="T47" s="30">
        <v>6437.94</v>
      </c>
      <c r="U47" s="30">
        <v>-7153.3159999999998</v>
      </c>
      <c r="V47" s="30">
        <v>0</v>
      </c>
      <c r="W47" s="30">
        <v>9791.83</v>
      </c>
      <c r="X47" s="30"/>
      <c r="Y47" s="30"/>
      <c r="Z47" s="30">
        <f t="shared" si="4"/>
        <v>0</v>
      </c>
    </row>
    <row r="48" spans="1:26" ht="21.75" customHeight="1" x14ac:dyDescent="0.25">
      <c r="A48" s="32" t="s">
        <v>105</v>
      </c>
      <c r="B48" s="33"/>
      <c r="C48" s="33"/>
      <c r="D48" s="33"/>
      <c r="E48" s="33"/>
      <c r="F48" s="33"/>
      <c r="G48" s="86"/>
      <c r="H48" s="33">
        <v>212371.20000000001</v>
      </c>
      <c r="I48" s="33">
        <v>212371.20000000001</v>
      </c>
      <c r="J48" s="33">
        <v>400000</v>
      </c>
      <c r="K48" s="33"/>
      <c r="L48" s="26">
        <f t="shared" si="23"/>
        <v>400000</v>
      </c>
      <c r="M48" s="154"/>
      <c r="N48" s="161" t="s">
        <v>106</v>
      </c>
      <c r="O48" s="94" t="s">
        <v>107</v>
      </c>
      <c r="P48" s="22">
        <v>162.80000000000001</v>
      </c>
      <c r="Q48" s="22">
        <v>597258.44900000002</v>
      </c>
      <c r="R48" s="22">
        <v>1039168.71</v>
      </c>
      <c r="S48" s="22">
        <f>1153086.5+248566.811</f>
        <v>1401653.311</v>
      </c>
      <c r="T48" s="22">
        <f>1467520.3+105</f>
        <v>1467625.3</v>
      </c>
      <c r="U48" s="22">
        <v>2217296.7000000002</v>
      </c>
      <c r="V48" s="22">
        <v>1810115.1</v>
      </c>
      <c r="W48" s="22">
        <v>2140282.9</v>
      </c>
      <c r="X48" s="22">
        <f>X49</f>
        <v>2237538.1</v>
      </c>
      <c r="Y48" s="22">
        <f>76600.8</f>
        <v>76600.800000000003</v>
      </c>
      <c r="Z48" s="22">
        <f t="shared" si="4"/>
        <v>2314138.9</v>
      </c>
    </row>
    <row r="49" spans="1:56" ht="21.75" customHeight="1" x14ac:dyDescent="0.25">
      <c r="A49" s="32"/>
      <c r="B49" s="26"/>
      <c r="C49" s="26"/>
      <c r="D49" s="33"/>
      <c r="E49" s="33"/>
      <c r="F49" s="33"/>
      <c r="G49" s="86"/>
      <c r="H49" s="33"/>
      <c r="I49" s="33"/>
      <c r="J49" s="33"/>
      <c r="K49" s="33"/>
      <c r="L49" s="33"/>
      <c r="M49" s="154"/>
      <c r="N49" s="161"/>
      <c r="O49" s="95" t="s">
        <v>108</v>
      </c>
      <c r="P49" s="35">
        <f t="shared" ref="P49:X49" si="39">P50</f>
        <v>525.9</v>
      </c>
      <c r="Q49" s="35">
        <f t="shared" si="39"/>
        <v>387863.58199999999</v>
      </c>
      <c r="R49" s="35">
        <f t="shared" si="39"/>
        <v>813786.47</v>
      </c>
      <c r="S49" s="35">
        <f t="shared" si="39"/>
        <v>1815459.898</v>
      </c>
      <c r="T49" s="35">
        <f t="shared" si="39"/>
        <v>1423537.95</v>
      </c>
      <c r="U49" s="35">
        <f t="shared" si="39"/>
        <v>2259291.8339999998</v>
      </c>
      <c r="V49" s="35">
        <f t="shared" si="39"/>
        <v>1810115.1</v>
      </c>
      <c r="W49" s="35">
        <f t="shared" si="39"/>
        <v>2159858.6880000001</v>
      </c>
      <c r="X49" s="35">
        <f t="shared" si="39"/>
        <v>2237538.1</v>
      </c>
      <c r="Y49" s="35">
        <f>Y48</f>
        <v>76600.800000000003</v>
      </c>
      <c r="Z49" s="35">
        <f t="shared" si="4"/>
        <v>2314138.9</v>
      </c>
      <c r="AA49" s="1"/>
      <c r="AB49" s="1"/>
    </row>
    <row r="50" spans="1:56" ht="21.75" customHeight="1" x14ac:dyDescent="0.25">
      <c r="A50" s="25"/>
      <c r="B50" s="26"/>
      <c r="C50" s="26"/>
      <c r="D50" s="26"/>
      <c r="E50" s="26"/>
      <c r="F50" s="26"/>
      <c r="G50" s="70"/>
      <c r="H50" s="26"/>
      <c r="I50" s="26"/>
      <c r="J50" s="26"/>
      <c r="K50" s="26"/>
      <c r="L50" s="26"/>
      <c r="M50" s="154"/>
      <c r="N50" s="161"/>
      <c r="O50" s="96" t="s">
        <v>109</v>
      </c>
      <c r="P50" s="97">
        <v>525.9</v>
      </c>
      <c r="Q50" s="97">
        <f>387863.582</f>
        <v>387863.58199999999</v>
      </c>
      <c r="R50" s="97">
        <v>813786.47</v>
      </c>
      <c r="S50" s="97">
        <f>663886.686+1151573.212</f>
        <v>1815459.898</v>
      </c>
      <c r="T50" s="97">
        <f>1407567.66+15970.29</f>
        <v>1423537.95</v>
      </c>
      <c r="U50" s="97">
        <v>2259291.8339999998</v>
      </c>
      <c r="V50" s="97">
        <v>1810115.1</v>
      </c>
      <c r="W50" s="97">
        <v>2159858.6880000001</v>
      </c>
      <c r="X50" s="97">
        <v>2237538.1</v>
      </c>
      <c r="Y50" s="97">
        <f>Y48</f>
        <v>76600.800000000003</v>
      </c>
      <c r="Z50" s="97">
        <f t="shared" si="4"/>
        <v>2314138.9</v>
      </c>
      <c r="AA50" s="1"/>
      <c r="AB50" s="1"/>
    </row>
    <row r="51" spans="1:56" ht="22.5" x14ac:dyDescent="0.25">
      <c r="A51" s="71" t="s">
        <v>110</v>
      </c>
      <c r="B51" s="98">
        <f t="shared" ref="B51:I51" si="40">B4-B22</f>
        <v>6258572.1000000089</v>
      </c>
      <c r="C51" s="98">
        <f t="shared" si="40"/>
        <v>11473093.899999999</v>
      </c>
      <c r="D51" s="98">
        <f t="shared" si="40"/>
        <v>11157848.441000003</v>
      </c>
      <c r="E51" s="98">
        <f t="shared" si="40"/>
        <v>14576678.311000012</v>
      </c>
      <c r="F51" s="98">
        <f t="shared" si="40"/>
        <v>16786681.920000009</v>
      </c>
      <c r="G51" s="98">
        <f t="shared" si="40"/>
        <v>13743233.903999999</v>
      </c>
      <c r="H51" s="98">
        <f t="shared" si="40"/>
        <v>10933990.554000005</v>
      </c>
      <c r="I51" s="98">
        <f t="shared" si="40"/>
        <v>10497882.042999998</v>
      </c>
      <c r="J51" s="98">
        <f t="shared" ref="J51:L51" si="41">J4-J22</f>
        <v>12305539.762000002</v>
      </c>
      <c r="K51" s="98">
        <f t="shared" si="41"/>
        <v>2016971.8769999999</v>
      </c>
      <c r="L51" s="98">
        <f t="shared" si="41"/>
        <v>14322511.639000006</v>
      </c>
      <c r="M51" s="154"/>
      <c r="N51" s="161"/>
      <c r="O51" s="99" t="s">
        <v>111</v>
      </c>
      <c r="P51" s="100"/>
      <c r="Q51" s="100"/>
      <c r="R51" s="100"/>
      <c r="S51" s="100"/>
      <c r="T51" s="100">
        <v>3486.94</v>
      </c>
      <c r="U51" s="100">
        <v>0</v>
      </c>
      <c r="V51" s="100">
        <v>0</v>
      </c>
      <c r="W51" s="100">
        <v>0</v>
      </c>
      <c r="X51" s="100">
        <v>0</v>
      </c>
      <c r="Y51" s="100"/>
      <c r="Z51" s="100">
        <f t="shared" si="4"/>
        <v>0</v>
      </c>
      <c r="AA51" s="36">
        <f>S48-S50+S51</f>
        <v>-413806.58700000006</v>
      </c>
      <c r="AB51" s="1"/>
    </row>
    <row r="52" spans="1:56" ht="22.5" x14ac:dyDescent="0.25">
      <c r="A52" s="71" t="s">
        <v>112</v>
      </c>
      <c r="B52" s="98"/>
      <c r="C52" s="98">
        <v>-1915253</v>
      </c>
      <c r="D52" s="98"/>
      <c r="E52" s="98"/>
      <c r="F52" s="98">
        <v>-196004.3</v>
      </c>
      <c r="G52" s="98">
        <v>86734.081000000006</v>
      </c>
      <c r="H52" s="98">
        <v>77836.671000000002</v>
      </c>
      <c r="I52" s="98">
        <v>65331.930999999997</v>
      </c>
      <c r="J52" s="98">
        <v>2434028.2850000001</v>
      </c>
      <c r="K52" s="98">
        <f>4351.118-275534.383-2157836.512</f>
        <v>-2429019.7770000002</v>
      </c>
      <c r="L52" s="98">
        <f>J52+K52</f>
        <v>5008.5079999999143</v>
      </c>
      <c r="M52" s="154"/>
      <c r="N52" s="161"/>
      <c r="O52" s="25" t="s">
        <v>70</v>
      </c>
      <c r="P52" s="97">
        <v>363.1</v>
      </c>
      <c r="Q52" s="97">
        <f>Q50-Q49</f>
        <v>0</v>
      </c>
      <c r="R52" s="97">
        <v>-225382.24</v>
      </c>
      <c r="S52" s="97">
        <v>413806.58799999999</v>
      </c>
      <c r="T52" s="97">
        <f>T48-T50-T51</f>
        <v>40600.410000000091</v>
      </c>
      <c r="U52" s="97">
        <v>41995.133999999998</v>
      </c>
      <c r="V52" s="97">
        <v>0</v>
      </c>
      <c r="W52" s="97">
        <v>19575.788</v>
      </c>
      <c r="X52" s="97"/>
      <c r="Y52" s="97"/>
      <c r="Z52" s="97">
        <f t="shared" si="4"/>
        <v>0</v>
      </c>
      <c r="AA52" s="36">
        <f>S53-S54</f>
        <v>65590.651999999769</v>
      </c>
      <c r="AB52" s="1"/>
    </row>
    <row r="53" spans="1:56" ht="21.75" x14ac:dyDescent="0.25">
      <c r="A53" s="71" t="s">
        <v>113</v>
      </c>
      <c r="B53" s="98">
        <f>B54+B55+B56-3.9</f>
        <v>-6258572.1000000006</v>
      </c>
      <c r="C53" s="98">
        <f t="shared" ref="C53:I53" si="42">C54+C55+C56</f>
        <v>-9557840.9000000004</v>
      </c>
      <c r="D53" s="98">
        <f t="shared" si="42"/>
        <v>-11157848.439999999</v>
      </c>
      <c r="E53" s="98">
        <f t="shared" si="42"/>
        <v>-14576678.311000001</v>
      </c>
      <c r="F53" s="98">
        <f t="shared" si="42"/>
        <v>-16590677.620000001</v>
      </c>
      <c r="G53" s="98">
        <f t="shared" si="42"/>
        <v>-13829967.988</v>
      </c>
      <c r="H53" s="98">
        <f t="shared" si="42"/>
        <v>-11011827.225</v>
      </c>
      <c r="I53" s="98">
        <f t="shared" si="42"/>
        <v>-10563213.973999999</v>
      </c>
      <c r="J53" s="98">
        <f t="shared" ref="J53:L53" si="43">J54+J55+J56</f>
        <v>-14739568.047</v>
      </c>
      <c r="K53" s="98">
        <f t="shared" si="43"/>
        <v>0</v>
      </c>
      <c r="L53" s="98">
        <f t="shared" si="43"/>
        <v>-14327520.15</v>
      </c>
      <c r="M53" s="154"/>
      <c r="N53" s="161" t="s">
        <v>114</v>
      </c>
      <c r="O53" s="78" t="s">
        <v>115</v>
      </c>
      <c r="P53" s="22">
        <v>5026902.0999999996</v>
      </c>
      <c r="Q53" s="22">
        <v>2871618.8089999999</v>
      </c>
      <c r="R53" s="22">
        <v>2650889.39</v>
      </c>
      <c r="S53" s="22">
        <v>3459456.3289999999</v>
      </c>
      <c r="T53" s="22">
        <v>3083585.47</v>
      </c>
      <c r="U53" s="22">
        <v>1944340.4580000001</v>
      </c>
      <c r="V53" s="22">
        <v>2172072.4</v>
      </c>
      <c r="W53" s="22">
        <v>2165562.6</v>
      </c>
      <c r="X53" s="22">
        <f>X54</f>
        <v>2121889.7570000002</v>
      </c>
      <c r="Y53" s="22">
        <f>111.6</f>
        <v>111.6</v>
      </c>
      <c r="Z53" s="22">
        <f t="shared" si="4"/>
        <v>2122001.3570000003</v>
      </c>
      <c r="AA53" s="36"/>
      <c r="AB53" s="1"/>
      <c r="AE53" s="101">
        <f>T53-T54</f>
        <v>39560.839999999851</v>
      </c>
    </row>
    <row r="54" spans="1:56" ht="43.5" x14ac:dyDescent="0.25">
      <c r="A54" s="25" t="s">
        <v>70</v>
      </c>
      <c r="B54" s="30">
        <f>-1478580.9+81884.9</f>
        <v>-1396696</v>
      </c>
      <c r="C54" s="30">
        <f>-3333734.87+1478580.94-9.18</f>
        <v>-1855163.11</v>
      </c>
      <c r="D54" s="26">
        <f>1241323.82-11.23</f>
        <v>1241312.5900000001</v>
      </c>
      <c r="E54" s="26">
        <f>(2092411.046-1571191.397)-56.32</f>
        <v>521163.32899999997</v>
      </c>
      <c r="F54" s="26">
        <f>1571191.4-2550859.62+82583.25</f>
        <v>-897084.9700000002</v>
      </c>
      <c r="G54" s="26">
        <f>2550859.621-3550065.53-4859.31</f>
        <v>-1004065.219</v>
      </c>
      <c r="H54" s="26">
        <v>0</v>
      </c>
      <c r="I54" s="26">
        <v>3498475.2030000002</v>
      </c>
      <c r="J54" s="26"/>
      <c r="K54" s="26"/>
      <c r="L54" s="26"/>
      <c r="M54" s="154"/>
      <c r="N54" s="161"/>
      <c r="O54" s="81" t="s">
        <v>116</v>
      </c>
      <c r="P54" s="35">
        <f>P53-17253.1</f>
        <v>5009649</v>
      </c>
      <c r="Q54" s="35">
        <v>2799625.6919999998</v>
      </c>
      <c r="R54" s="35">
        <f>2606534.68+450.47</f>
        <v>2606985.1500000004</v>
      </c>
      <c r="S54" s="35">
        <f>3396594.497-2728.82</f>
        <v>3393865.6770000001</v>
      </c>
      <c r="T54" s="35">
        <f>314984.52+T53-350963.09-3582.27</f>
        <v>3044024.6300000004</v>
      </c>
      <c r="U54" s="35">
        <f>1039122.984+862275.895</f>
        <v>1901398.8790000002</v>
      </c>
      <c r="V54" s="35">
        <f>V53</f>
        <v>2172072.4</v>
      </c>
      <c r="W54" s="35">
        <f>W53</f>
        <v>2165562.6</v>
      </c>
      <c r="X54" s="35">
        <v>2121889.7570000002</v>
      </c>
      <c r="Y54" s="35">
        <f>Y53</f>
        <v>111.6</v>
      </c>
      <c r="Z54" s="35">
        <f t="shared" si="4"/>
        <v>2122001.3570000003</v>
      </c>
      <c r="AA54" s="1"/>
      <c r="AB54" s="1"/>
      <c r="AE54" s="101">
        <v>3044024.63</v>
      </c>
      <c r="AF54" s="48">
        <f>T54-AE54</f>
        <v>0</v>
      </c>
    </row>
    <row r="55" spans="1:56" ht="67.5" x14ac:dyDescent="0.25">
      <c r="A55" s="76" t="s">
        <v>117</v>
      </c>
      <c r="B55" s="30">
        <v>-4861872.2</v>
      </c>
      <c r="C55" s="30">
        <v>-7702677.79</v>
      </c>
      <c r="D55" s="26">
        <v>-12399161.029999999</v>
      </c>
      <c r="E55" s="26">
        <f>-15097841.64</f>
        <v>-15097841.640000001</v>
      </c>
      <c r="F55" s="26">
        <v>-15693592.65</v>
      </c>
      <c r="G55" s="26">
        <v>-12825902.768999999</v>
      </c>
      <c r="H55" s="26">
        <v>-11011827.225</v>
      </c>
      <c r="I55" s="26">
        <v>-14061689.176999999</v>
      </c>
      <c r="J55" s="26">
        <v>-14739568.047</v>
      </c>
      <c r="K55" s="26"/>
      <c r="L55" s="26">
        <v>-14327520.15</v>
      </c>
      <c r="M55" s="154"/>
      <c r="N55" s="161" t="s">
        <v>118</v>
      </c>
      <c r="O55" s="78" t="s">
        <v>119</v>
      </c>
      <c r="P55" s="102"/>
      <c r="Q55" s="102"/>
      <c r="R55" s="103">
        <v>651676</v>
      </c>
      <c r="S55" s="103">
        <v>729557.66899999999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/>
      <c r="Z55" s="103">
        <f t="shared" si="4"/>
        <v>0</v>
      </c>
      <c r="AA55" s="1"/>
      <c r="AB55" s="1"/>
    </row>
    <row r="56" spans="1:56" ht="43.5" x14ac:dyDescent="0.25">
      <c r="A56" s="104" t="s">
        <v>120</v>
      </c>
      <c r="B56" s="105"/>
      <c r="C56" s="105"/>
      <c r="D56" s="106"/>
      <c r="E56" s="106"/>
      <c r="F56" s="106"/>
      <c r="G56" s="107"/>
      <c r="H56" s="108"/>
      <c r="I56" s="108"/>
      <c r="J56" s="108"/>
      <c r="K56" s="108"/>
      <c r="L56" s="108"/>
      <c r="M56" s="154"/>
      <c r="N56" s="161"/>
      <c r="O56" s="81" t="s">
        <v>121</v>
      </c>
      <c r="P56" s="74"/>
      <c r="Q56" s="74"/>
      <c r="R56" s="74">
        <f>R55</f>
        <v>651676</v>
      </c>
      <c r="S56" s="74">
        <f>S55</f>
        <v>729557.66899999999</v>
      </c>
      <c r="T56" s="74">
        <f>T55</f>
        <v>0</v>
      </c>
      <c r="U56" s="74">
        <v>0</v>
      </c>
      <c r="V56" s="74">
        <v>0</v>
      </c>
      <c r="W56" s="74">
        <v>0</v>
      </c>
      <c r="X56" s="74">
        <v>0</v>
      </c>
      <c r="Y56" s="74"/>
      <c r="Z56" s="74">
        <f t="shared" si="4"/>
        <v>0</v>
      </c>
      <c r="AA56" s="1"/>
      <c r="AB56" s="1"/>
      <c r="AE56" s="36"/>
      <c r="AG56" s="48"/>
      <c r="AH56" s="48"/>
      <c r="AP56" s="48"/>
    </row>
    <row r="57" spans="1:56" ht="22.5" x14ac:dyDescent="0.25">
      <c r="A57" s="109"/>
      <c r="B57" s="105"/>
      <c r="C57" s="105"/>
      <c r="D57" s="106"/>
      <c r="E57" s="106"/>
      <c r="F57" s="106"/>
      <c r="G57" s="107"/>
      <c r="H57" s="108"/>
      <c r="I57" s="108"/>
      <c r="J57" s="108"/>
      <c r="K57" s="108"/>
      <c r="L57" s="108"/>
      <c r="M57" s="154"/>
      <c r="N57" s="110"/>
      <c r="O57" s="111" t="s">
        <v>122</v>
      </c>
      <c r="P57" s="103">
        <f>P4+P26+P37+P48+P53+38.7</f>
        <v>5995197.3959799996</v>
      </c>
      <c r="Q57" s="103">
        <f>Q4+Q26+Q37+Q48+Q53+119.054-0.03</f>
        <v>4558751.9319999991</v>
      </c>
      <c r="R57" s="103">
        <f>R4+R26+R37+R48+R53+R55+149.01</f>
        <v>5759291.8560000006</v>
      </c>
      <c r="S57" s="103">
        <f>S4+S26+S37+S48+S53+S55+0.025+28.778+300.157-33.972+0.01</f>
        <v>6683126.0689999992</v>
      </c>
      <c r="T57" s="103">
        <f>T4+T26+T37+T48+T53+T55-279.2+18.1+0.01</f>
        <v>5318312.3099999996</v>
      </c>
      <c r="U57" s="103">
        <f>U4+U26+U37+U48+U53+U55</f>
        <v>4998055.2180000003</v>
      </c>
      <c r="V57" s="103">
        <f>V4+V26+V37+V48+V53+V55</f>
        <v>5463407.5</v>
      </c>
      <c r="W57" s="103">
        <f>W4+W26+W37+W48+W53+W55</f>
        <v>5867171.0600000005</v>
      </c>
      <c r="X57" s="103">
        <f>X4+X26+X37+X48+X53+X55</f>
        <v>6253031.8570000008</v>
      </c>
      <c r="Y57" s="103">
        <f>Y4+Y26+Y37+Y48+Y53+Y55</f>
        <v>76712.400000000009</v>
      </c>
      <c r="Z57" s="103">
        <f t="shared" si="4"/>
        <v>6329744.2570000011</v>
      </c>
      <c r="AA57" s="1"/>
      <c r="AB57" s="1"/>
      <c r="AE57" s="36">
        <v>5318312.3099999996</v>
      </c>
      <c r="AF57" t="s">
        <v>123</v>
      </c>
      <c r="AG57" s="48">
        <f>T57-AE57</f>
        <v>0</v>
      </c>
      <c r="AH57" s="48"/>
      <c r="AP57" s="48"/>
    </row>
    <row r="58" spans="1:56" ht="22.5" x14ac:dyDescent="0.25">
      <c r="A58" s="109"/>
      <c r="B58" s="105"/>
      <c r="C58" s="105"/>
      <c r="D58" s="106"/>
      <c r="E58" s="106"/>
      <c r="F58" s="106"/>
      <c r="G58" s="107"/>
      <c r="H58" s="112"/>
      <c r="I58" s="112"/>
      <c r="J58" s="112"/>
      <c r="K58" s="112"/>
      <c r="L58" s="112"/>
      <c r="M58" s="154"/>
      <c r="N58" s="110"/>
      <c r="O58" s="113" t="s">
        <v>124</v>
      </c>
      <c r="P58" s="74">
        <f>P8+P31+P41+P49+P54</f>
        <v>8609845.5999999996</v>
      </c>
      <c r="Q58" s="74">
        <f>Q8+Q31+Q41+Q49+Q54+453.536</f>
        <v>10917534.300500002</v>
      </c>
      <c r="R58" s="74">
        <f>R8+R31+R41+R49+R54+R56</f>
        <v>17672852.82</v>
      </c>
      <c r="S58" s="74">
        <f>S8+S31+S41+S49+S54+S56+8046.266-2294.738</f>
        <v>22330384.369999997</v>
      </c>
      <c r="T58" s="74">
        <f>T8+T31+T41+T49+T54+T56+85.43+1106.73+0.01</f>
        <v>21035619.18</v>
      </c>
      <c r="U58" s="74">
        <f>U8+U31+U41+U49+U54+U56+600+2572.097+504.73</f>
        <v>18568064.548999999</v>
      </c>
      <c r="V58" s="74">
        <f>V8+V31+V41+V49+V54+V56+300</f>
        <v>13801093.125</v>
      </c>
      <c r="W58" s="74">
        <f>W8+W31+W41+W49+W54+W56+300+3827.864</f>
        <v>26139117.309</v>
      </c>
      <c r="X58" s="74">
        <f>X8+X31+X41+X49+X54+X56+240</f>
        <v>18691297.620000001</v>
      </c>
      <c r="Y58" s="74">
        <f>Y8+Y31+Y41+Y49+Y54+Y56</f>
        <v>-16973.905000000166</v>
      </c>
      <c r="Z58" s="74">
        <f>Z8+Z31+Z41+Z49+Z54+Z56+240</f>
        <v>18674323.715</v>
      </c>
      <c r="AA58" s="1"/>
      <c r="AB58" s="1"/>
      <c r="AE58" s="36">
        <f>21007753.53+27865.64</f>
        <v>21035619.170000002</v>
      </c>
      <c r="AF58" t="s">
        <v>125</v>
      </c>
      <c r="AG58" s="48">
        <f>AE58-T58</f>
        <v>-9.9999979138374329E-3</v>
      </c>
      <c r="AH58" s="48"/>
      <c r="AP58" s="48"/>
      <c r="BC58" s="48">
        <f>15897926.725-X58</f>
        <v>-2793370.8950000014</v>
      </c>
      <c r="BD58" s="48">
        <f>BC58+X48</f>
        <v>-555832.79500000132</v>
      </c>
    </row>
    <row r="59" spans="1:56" ht="22.5" x14ac:dyDescent="0.25">
      <c r="A59" s="114"/>
      <c r="B59" s="115"/>
      <c r="C59" s="116"/>
      <c r="D59" s="106"/>
      <c r="E59" s="106"/>
      <c r="F59" s="106"/>
      <c r="G59" s="107"/>
      <c r="H59" s="36"/>
      <c r="I59" s="36"/>
      <c r="J59" s="36"/>
      <c r="K59" s="36"/>
      <c r="L59" s="36"/>
      <c r="M59" s="154"/>
      <c r="N59" s="110"/>
      <c r="O59" s="117" t="s">
        <v>110</v>
      </c>
      <c r="P59" s="98">
        <f t="shared" ref="P59:V59" si="44">P57-P58</f>
        <v>-2614648.2040200001</v>
      </c>
      <c r="Q59" s="98">
        <f t="shared" si="44"/>
        <v>-6358782.3685000027</v>
      </c>
      <c r="R59" s="98">
        <f t="shared" si="44"/>
        <v>-11913560.964</v>
      </c>
      <c r="S59" s="98">
        <f t="shared" si="44"/>
        <v>-15647258.300999999</v>
      </c>
      <c r="T59" s="98">
        <f t="shared" si="44"/>
        <v>-15717306.870000001</v>
      </c>
      <c r="U59" s="98">
        <f t="shared" si="44"/>
        <v>-13570009.330999998</v>
      </c>
      <c r="V59" s="98">
        <f t="shared" si="44"/>
        <v>-8337685.625</v>
      </c>
      <c r="W59" s="98">
        <f>W57-W58</f>
        <v>-20271946.248999998</v>
      </c>
      <c r="X59" s="98">
        <f>X57-X58+360000</f>
        <v>-12078265.763</v>
      </c>
      <c r="Y59" s="98">
        <f t="shared" ref="Y59" si="45">Y57-Y58+360000</f>
        <v>453686.30500000017</v>
      </c>
      <c r="Z59" s="98">
        <f>Z57-Z58</f>
        <v>-12344579.457999999</v>
      </c>
      <c r="AA59" s="1"/>
      <c r="AB59" s="1"/>
    </row>
    <row r="60" spans="1:56" ht="22.5" x14ac:dyDescent="0.25">
      <c r="A60" s="162"/>
      <c r="B60" s="162"/>
      <c r="C60" s="162"/>
      <c r="D60" s="162"/>
      <c r="E60" s="162"/>
      <c r="F60" s="118"/>
      <c r="G60" s="119"/>
      <c r="H60" s="112"/>
      <c r="I60" s="112"/>
      <c r="J60" s="112"/>
      <c r="K60" s="112"/>
      <c r="L60" s="112"/>
      <c r="M60" s="154"/>
      <c r="N60" s="110"/>
      <c r="O60" s="71" t="s">
        <v>112</v>
      </c>
      <c r="P60" s="98"/>
      <c r="Q60" s="98"/>
      <c r="R60" s="98"/>
      <c r="S60" s="98"/>
      <c r="T60" s="98"/>
      <c r="U60" s="98">
        <v>12805.323</v>
      </c>
      <c r="V60" s="98">
        <v>300</v>
      </c>
      <c r="W60" s="98">
        <v>300</v>
      </c>
      <c r="X60" s="98">
        <v>240</v>
      </c>
      <c r="Y60" s="98"/>
      <c r="Z60" s="98">
        <f t="shared" si="4"/>
        <v>240</v>
      </c>
      <c r="AA60" s="1"/>
      <c r="AB60" s="1"/>
    </row>
    <row r="61" spans="1:56" ht="22.5" x14ac:dyDescent="0.25">
      <c r="A61" s="118"/>
      <c r="B61" s="118"/>
      <c r="C61" s="118"/>
      <c r="D61" s="118"/>
      <c r="E61" s="118"/>
      <c r="F61" s="118"/>
      <c r="G61" s="119"/>
      <c r="H61" s="112"/>
      <c r="I61" s="112"/>
      <c r="J61" s="112"/>
      <c r="K61" s="112"/>
      <c r="L61" s="112"/>
      <c r="M61" s="154"/>
      <c r="N61" s="110"/>
      <c r="O61" s="117" t="s">
        <v>113</v>
      </c>
      <c r="P61" s="98">
        <f>P62+P63+P64</f>
        <v>2614648.2000000002</v>
      </c>
      <c r="Q61" s="98">
        <f>Q62+Q63+Q64</f>
        <v>6358782.3729999997</v>
      </c>
      <c r="R61" s="98">
        <f>R62+R63+R64</f>
        <v>11913560.959999999</v>
      </c>
      <c r="S61" s="98">
        <f>S62+S63+S64</f>
        <v>15647258.295</v>
      </c>
      <c r="T61" s="98">
        <f>T62+T63+T64+0.01</f>
        <v>15717306.870000001</v>
      </c>
      <c r="U61" s="120">
        <f t="shared" ref="U61:Z61" si="46">U62+U63+U64</f>
        <v>13557204.006999999</v>
      </c>
      <c r="V61" s="98">
        <f t="shared" si="46"/>
        <v>8337385.625</v>
      </c>
      <c r="W61" s="98">
        <f t="shared" si="46"/>
        <v>20271646.247000001</v>
      </c>
      <c r="X61" s="98">
        <f t="shared" si="46"/>
        <v>12078025.763</v>
      </c>
      <c r="Y61" s="98">
        <f t="shared" si="46"/>
        <v>678361.59600000002</v>
      </c>
      <c r="Z61" s="98">
        <f t="shared" si="46"/>
        <v>12344339.462000001</v>
      </c>
      <c r="AA61" s="121">
        <v>615008.326</v>
      </c>
      <c r="AB61" s="1" t="s">
        <v>126</v>
      </c>
    </row>
    <row r="62" spans="1:56" ht="22.5" x14ac:dyDescent="0.25">
      <c r="A62" s="122"/>
      <c r="B62" s="123"/>
      <c r="C62" s="124"/>
      <c r="D62" s="106"/>
      <c r="E62" s="106"/>
      <c r="F62" s="106"/>
      <c r="G62" s="107"/>
      <c r="H62" s="10"/>
      <c r="I62" s="10"/>
      <c r="J62" s="10"/>
      <c r="K62" s="10"/>
      <c r="L62" s="10"/>
      <c r="M62" s="154"/>
      <c r="N62" s="110"/>
      <c r="O62" s="25" t="s">
        <v>70</v>
      </c>
      <c r="P62" s="30">
        <f>P23+P36+P47+P51+2503</f>
        <v>54113</v>
      </c>
      <c r="Q62" s="30">
        <f>Q23+Q36+Q47+Q51-(Q53-Q54)+334.48-207222.11-2172.72</f>
        <v>-395232.41700000002</v>
      </c>
      <c r="R62" s="30">
        <f>R23+R36+R47+R51-1954.27+42549.45-267932.69-42097.98</f>
        <v>-485600.06999999995</v>
      </c>
      <c r="S62" s="30">
        <f>S23+S36+S47+S51-266.185+5722.738-0.01-65590.664+402813.58+10993</f>
        <v>549416.65500000003</v>
      </c>
      <c r="T62" s="30">
        <f>113871.19-90156.98</f>
        <v>23714.210000000006</v>
      </c>
      <c r="U62" s="30">
        <f>521823.381-533594.246-(20371.498+6556.399)</f>
        <v>-38698.762000000046</v>
      </c>
      <c r="V62" s="30">
        <f>V23+V36+V47+V52</f>
        <v>0</v>
      </c>
      <c r="W62" s="30">
        <f>W23+W36+W47+W52+3827.864</f>
        <v>155976.67000000001</v>
      </c>
      <c r="X62" s="30">
        <f>X23+X36+X47+X52</f>
        <v>0</v>
      </c>
      <c r="Y62" s="30">
        <f>Y23+Y36+Y47+Y52</f>
        <v>0</v>
      </c>
      <c r="Z62" s="30">
        <f t="shared" si="4"/>
        <v>0</v>
      </c>
      <c r="AA62" s="36">
        <f>S62-AA61</f>
        <v>-65591.670999999973</v>
      </c>
      <c r="AB62" s="1"/>
      <c r="AE62" s="48">
        <f>T23+T36+T47+T52+T53-T54-90156.98</f>
        <v>95913.419999999911</v>
      </c>
      <c r="AF62" s="48">
        <f>T62-AE62</f>
        <v>-72199.209999999905</v>
      </c>
      <c r="AG62" t="s">
        <v>126</v>
      </c>
      <c r="AH62" t="s">
        <v>126</v>
      </c>
    </row>
    <row r="63" spans="1:56" ht="45" x14ac:dyDescent="0.25">
      <c r="A63" s="125"/>
      <c r="B63" s="125"/>
      <c r="C63" s="124"/>
      <c r="D63" s="106"/>
      <c r="E63" s="106"/>
      <c r="F63" s="106"/>
      <c r="G63" s="107"/>
      <c r="H63" s="10"/>
      <c r="I63" s="10"/>
      <c r="J63" s="10"/>
      <c r="K63" s="10"/>
      <c r="L63" s="10"/>
      <c r="M63" s="154"/>
      <c r="N63" s="110"/>
      <c r="O63" s="126" t="s">
        <v>117</v>
      </c>
      <c r="P63" s="26">
        <f t="shared" ref="P63:W64" si="47">P24</f>
        <v>4861872.2</v>
      </c>
      <c r="Q63" s="26">
        <f t="shared" si="47"/>
        <v>7702677.79</v>
      </c>
      <c r="R63" s="26">
        <f t="shared" si="47"/>
        <v>12399161.029999999</v>
      </c>
      <c r="S63" s="26">
        <f t="shared" si="47"/>
        <v>15097841.640000001</v>
      </c>
      <c r="T63" s="26">
        <f t="shared" si="47"/>
        <v>15693592.65</v>
      </c>
      <c r="U63" s="26">
        <f t="shared" si="47"/>
        <v>12825902.768999999</v>
      </c>
      <c r="V63" s="26">
        <f t="shared" si="47"/>
        <v>11011827.225</v>
      </c>
      <c r="W63" s="26">
        <f t="shared" si="47"/>
        <v>14061689.176999999</v>
      </c>
      <c r="X63" s="26">
        <f t="shared" ref="X63:Z63" si="48">X24</f>
        <v>14739568.047</v>
      </c>
      <c r="Y63" s="26">
        <f t="shared" si="48"/>
        <v>0</v>
      </c>
      <c r="Z63" s="26">
        <f t="shared" si="48"/>
        <v>14327520.15</v>
      </c>
      <c r="AA63" s="1"/>
      <c r="AB63" s="1"/>
    </row>
    <row r="64" spans="1:56" ht="30.75" customHeight="1" x14ac:dyDescent="0.25">
      <c r="A64" s="127" t="s">
        <v>127</v>
      </c>
      <c r="B64" s="22">
        <f t="shared" ref="B64:J64" si="49">B4+P57</f>
        <v>31653961.895980004</v>
      </c>
      <c r="C64" s="22">
        <f t="shared" si="49"/>
        <v>38687164.431999996</v>
      </c>
      <c r="D64" s="22">
        <f t="shared" si="49"/>
        <v>48765105.906000003</v>
      </c>
      <c r="E64" s="22">
        <f t="shared" si="49"/>
        <v>57130912.461000003</v>
      </c>
      <c r="F64" s="22">
        <f t="shared" si="49"/>
        <v>62219576.340000004</v>
      </c>
      <c r="G64" s="22">
        <f t="shared" si="49"/>
        <v>58121754.123000003</v>
      </c>
      <c r="H64" s="22">
        <f t="shared" si="49"/>
        <v>60391952.299999997</v>
      </c>
      <c r="I64" s="22">
        <f t="shared" si="49"/>
        <v>63199544.177000001</v>
      </c>
      <c r="J64" s="22">
        <f t="shared" si="49"/>
        <v>65546451.357000001</v>
      </c>
      <c r="K64" s="22">
        <f>K4+AA57</f>
        <v>2573475.1</v>
      </c>
      <c r="L64" s="22">
        <f>L4+Z57</f>
        <v>68196638.857000008</v>
      </c>
      <c r="M64" s="154"/>
      <c r="N64" s="128"/>
      <c r="O64" s="129" t="str">
        <f>O25</f>
        <v>Фінансування за рахунок позик банківських установ</v>
      </c>
      <c r="P64" s="26">
        <f t="shared" si="47"/>
        <v>-2301337</v>
      </c>
      <c r="Q64" s="26">
        <f t="shared" si="47"/>
        <v>-948663</v>
      </c>
      <c r="R64" s="26">
        <f t="shared" si="47"/>
        <v>0</v>
      </c>
      <c r="S64" s="26">
        <f t="shared" si="47"/>
        <v>0</v>
      </c>
      <c r="T64" s="26">
        <f t="shared" si="47"/>
        <v>0</v>
      </c>
      <c r="U64" s="26">
        <f t="shared" si="47"/>
        <v>770000</v>
      </c>
      <c r="V64" s="26">
        <f t="shared" si="47"/>
        <v>-2674441.6</v>
      </c>
      <c r="W64" s="26">
        <f t="shared" si="47"/>
        <v>6053980.4000000004</v>
      </c>
      <c r="X64" s="26">
        <f t="shared" ref="X64:Z64" si="50">X25</f>
        <v>-2661542.284</v>
      </c>
      <c r="Y64" s="26">
        <f t="shared" si="50"/>
        <v>678361.59600000002</v>
      </c>
      <c r="Z64" s="26">
        <f t="shared" si="50"/>
        <v>-1983180.6880000001</v>
      </c>
      <c r="AA64" s="1"/>
      <c r="AB64" s="1"/>
    </row>
    <row r="65" spans="1:28" ht="28.9" customHeight="1" x14ac:dyDescent="0.25">
      <c r="A65" s="34" t="s">
        <v>128</v>
      </c>
      <c r="B65" s="74">
        <f>B22+P58</f>
        <v>28010037.999999993</v>
      </c>
      <c r="C65" s="74">
        <f>C22+Q58</f>
        <v>33572852.9005</v>
      </c>
      <c r="D65" s="74">
        <f>D22+R58</f>
        <v>49520818.429000005</v>
      </c>
      <c r="E65" s="74">
        <f>E22+S58</f>
        <v>58201492.45099999</v>
      </c>
      <c r="F65" s="74">
        <f>F22-F52+T58</f>
        <v>61346205.589999989</v>
      </c>
      <c r="G65" s="74">
        <f>G22-G52+U58-U60</f>
        <v>57848990.145999998</v>
      </c>
      <c r="H65" s="74">
        <f t="shared" ref="H65" si="51">H22-H52+V58</f>
        <v>57717810.699999996</v>
      </c>
      <c r="I65" s="74">
        <f>I22+W58</f>
        <v>72973608.383000001</v>
      </c>
      <c r="J65" s="144">
        <f>J22+X58</f>
        <v>65679177.357999995</v>
      </c>
      <c r="K65" s="144">
        <f>K22+AA58</f>
        <v>556503.22300000011</v>
      </c>
      <c r="L65" s="144">
        <f>L22+Z58</f>
        <v>66218706.675999999</v>
      </c>
      <c r="M65" s="154"/>
      <c r="N65" s="130"/>
      <c r="O65" s="131" t="s">
        <v>129</v>
      </c>
      <c r="P65" s="132">
        <f t="shared" ref="P65:W65" si="52">P58</f>
        <v>8609845.5999999996</v>
      </c>
      <c r="Q65" s="132">
        <f t="shared" si="52"/>
        <v>10917534.300500002</v>
      </c>
      <c r="R65" s="132">
        <f t="shared" si="52"/>
        <v>17672852.82</v>
      </c>
      <c r="S65" s="132">
        <f t="shared" si="52"/>
        <v>22330384.369999997</v>
      </c>
      <c r="T65" s="132">
        <f t="shared" si="52"/>
        <v>21035619.18</v>
      </c>
      <c r="U65" s="132">
        <f t="shared" si="52"/>
        <v>18568064.548999999</v>
      </c>
      <c r="V65" s="132">
        <f t="shared" si="52"/>
        <v>13801093.125</v>
      </c>
      <c r="W65" s="132">
        <f t="shared" si="52"/>
        <v>26139117.309</v>
      </c>
      <c r="X65" s="132">
        <f t="shared" ref="X65:Y65" si="53">X58</f>
        <v>18691297.620000001</v>
      </c>
      <c r="Y65" s="132">
        <f t="shared" si="53"/>
        <v>-16973.905000000166</v>
      </c>
      <c r="Z65" s="132">
        <f t="shared" si="4"/>
        <v>18674323.715</v>
      </c>
      <c r="AA65" s="1"/>
      <c r="AB65" s="1"/>
    </row>
    <row r="66" spans="1:28" ht="22.5" x14ac:dyDescent="0.25">
      <c r="A66" s="122"/>
      <c r="B66" s="133"/>
      <c r="C66" s="133"/>
      <c r="D66" s="133"/>
      <c r="E66" s="133"/>
      <c r="F66" s="133"/>
      <c r="G66" s="134"/>
      <c r="H66" s="10"/>
      <c r="I66" s="10"/>
      <c r="J66" s="143">
        <f>J64-J65</f>
        <v>-132726.00099999458</v>
      </c>
      <c r="K66" s="143"/>
      <c r="L66" s="143">
        <f>L64-L65</f>
        <v>1977932.1810000092</v>
      </c>
      <c r="M66" s="122"/>
      <c r="N66" s="130"/>
      <c r="O66" s="1"/>
      <c r="P66" s="45"/>
      <c r="Q66" s="135"/>
      <c r="R66" s="1"/>
      <c r="S66" s="1"/>
      <c r="T66" s="1"/>
      <c r="U66" s="36">
        <f>U58-U54-16666665.668</f>
        <v>1.999998465180397E-3</v>
      </c>
      <c r="V66" s="1"/>
      <c r="W66" s="1"/>
      <c r="X66" s="1"/>
      <c r="Y66" s="1"/>
      <c r="Z66" s="1"/>
    </row>
    <row r="67" spans="1:28" ht="22.5" x14ac:dyDescent="0.25">
      <c r="A67" s="122"/>
      <c r="B67" s="136"/>
      <c r="C67" s="124"/>
      <c r="D67" s="106"/>
      <c r="E67" s="106"/>
      <c r="F67" s="106"/>
      <c r="G67" s="107"/>
      <c r="H67" s="137"/>
      <c r="I67" s="137"/>
      <c r="J67" s="137"/>
      <c r="K67" s="137"/>
      <c r="L67" s="137"/>
      <c r="M67" s="122"/>
      <c r="N67" s="12"/>
      <c r="O67" s="1"/>
      <c r="P67" s="45"/>
      <c r="Q67" s="135"/>
      <c r="R67" s="1"/>
      <c r="S67" s="36"/>
      <c r="T67" s="36"/>
      <c r="U67" s="36"/>
      <c r="V67" s="36"/>
      <c r="W67" s="36"/>
      <c r="X67" s="36"/>
      <c r="Y67" s="36"/>
      <c r="Z67" s="36"/>
    </row>
    <row r="68" spans="1:28" ht="22.5" x14ac:dyDescent="0.25">
      <c r="A68" s="122"/>
      <c r="B68" s="138"/>
      <c r="C68" s="124"/>
      <c r="D68" s="106"/>
      <c r="E68" s="106"/>
      <c r="F68" s="106"/>
      <c r="G68" s="107"/>
      <c r="H68" s="112">
        <f>H65-56575192.571</f>
        <v>1142618.1289999932</v>
      </c>
      <c r="I68" s="112"/>
      <c r="J68" s="112"/>
      <c r="K68" s="112"/>
      <c r="L68" s="112"/>
      <c r="M68" s="122"/>
      <c r="N68" s="12"/>
      <c r="O68" s="1"/>
      <c r="P68" s="45"/>
      <c r="Q68" s="135"/>
      <c r="R68" s="1"/>
      <c r="S68" s="1"/>
      <c r="T68" s="1"/>
      <c r="U68" s="1"/>
      <c r="V68" s="1"/>
      <c r="W68" s="1"/>
      <c r="X68" s="1"/>
      <c r="Y68" s="1"/>
      <c r="Z68" s="1"/>
    </row>
    <row r="69" spans="1:28" ht="22.5" x14ac:dyDescent="0.25">
      <c r="A69" s="122"/>
      <c r="B69" s="139"/>
      <c r="C69" s="124"/>
      <c r="D69" s="106"/>
      <c r="E69" s="106"/>
      <c r="F69" s="106"/>
      <c r="G69" s="107"/>
      <c r="H69" s="112"/>
      <c r="I69" s="112"/>
      <c r="J69" s="112"/>
      <c r="K69" s="112"/>
      <c r="L69" s="112"/>
      <c r="M69" s="1"/>
      <c r="N69" s="12"/>
      <c r="O69" s="1"/>
      <c r="P69" s="57"/>
      <c r="Q69" s="135"/>
      <c r="R69" s="1"/>
      <c r="S69" s="1"/>
      <c r="T69" s="1"/>
      <c r="U69" s="1"/>
      <c r="V69" s="1"/>
      <c r="W69" s="1"/>
      <c r="X69" s="1"/>
      <c r="Y69" s="1"/>
      <c r="Z69" s="1"/>
    </row>
    <row r="70" spans="1:28" ht="18.75" x14ac:dyDescent="0.25">
      <c r="A70" s="1"/>
      <c r="B70" s="139"/>
      <c r="C70" s="139"/>
      <c r="D70" s="139"/>
      <c r="E70" s="139"/>
      <c r="F70" s="139"/>
      <c r="G70" s="140"/>
      <c r="H70" s="112"/>
      <c r="I70" s="112"/>
      <c r="J70" s="112"/>
      <c r="K70" s="112"/>
      <c r="L70" s="112"/>
      <c r="M70" s="1"/>
      <c r="N70" s="12"/>
      <c r="O70" s="1"/>
      <c r="P70" s="45"/>
      <c r="Q70" s="135"/>
      <c r="R70" s="36"/>
      <c r="S70" s="36"/>
      <c r="T70" s="36"/>
      <c r="U70" s="36"/>
      <c r="V70" s="36"/>
      <c r="W70" s="36"/>
      <c r="X70" s="36"/>
      <c r="Y70" s="36"/>
      <c r="Z70" s="36"/>
    </row>
    <row r="71" spans="1:28" ht="18.75" x14ac:dyDescent="0.25">
      <c r="A71" s="1"/>
      <c r="B71" s="139"/>
      <c r="C71" s="139"/>
      <c r="D71" s="139"/>
      <c r="E71" s="139"/>
      <c r="F71" s="139"/>
      <c r="G71" s="140"/>
      <c r="H71" s="112"/>
      <c r="I71" s="112"/>
      <c r="J71" s="112"/>
      <c r="K71" s="112"/>
      <c r="L71" s="112"/>
      <c r="M71" s="1"/>
      <c r="N71" s="12"/>
      <c r="O71" s="1"/>
      <c r="P71" s="45"/>
      <c r="Q71" s="135"/>
      <c r="R71" s="1"/>
      <c r="S71" s="1"/>
      <c r="T71" s="1"/>
      <c r="U71" s="1"/>
      <c r="V71" s="1"/>
      <c r="W71" s="1"/>
      <c r="X71" s="1"/>
      <c r="Y71" s="1"/>
      <c r="Z71" s="1"/>
    </row>
    <row r="72" spans="1:28" ht="18.75" x14ac:dyDescent="0.25">
      <c r="A72" s="1"/>
      <c r="B72" s="139"/>
      <c r="C72" s="139"/>
      <c r="D72" s="139"/>
      <c r="E72" s="139"/>
      <c r="F72" s="139"/>
      <c r="G72" s="140"/>
      <c r="H72" s="112"/>
      <c r="I72" s="112"/>
      <c r="J72" s="112"/>
      <c r="K72" s="112"/>
      <c r="L72" s="112"/>
      <c r="M72" s="1"/>
      <c r="N72" s="12"/>
      <c r="O72" s="1"/>
      <c r="P72" s="45"/>
      <c r="Q72" s="135"/>
      <c r="R72" s="1"/>
      <c r="S72" s="1"/>
      <c r="T72" s="1"/>
      <c r="U72" s="1"/>
      <c r="V72" s="1"/>
      <c r="W72" s="1"/>
      <c r="X72" s="1"/>
      <c r="Y72" s="1"/>
      <c r="Z72" s="1"/>
    </row>
    <row r="73" spans="1:28" ht="18.75" x14ac:dyDescent="0.25">
      <c r="A73" s="1"/>
      <c r="B73" s="139"/>
      <c r="C73" s="139"/>
      <c r="D73" s="139"/>
      <c r="E73" s="139"/>
      <c r="F73" s="139"/>
      <c r="G73" s="140"/>
      <c r="H73" s="112"/>
      <c r="I73" s="112"/>
      <c r="J73" s="112"/>
      <c r="K73" s="112"/>
      <c r="L73" s="112"/>
      <c r="M73" s="1"/>
      <c r="N73" s="12"/>
      <c r="O73" s="1"/>
      <c r="P73" s="45"/>
      <c r="Q73" s="135"/>
      <c r="R73" s="1"/>
      <c r="S73" s="1"/>
      <c r="T73" s="1"/>
      <c r="U73" s="1"/>
      <c r="V73" s="1"/>
      <c r="W73" s="1"/>
      <c r="X73" s="1"/>
      <c r="Y73" s="1"/>
      <c r="Z73" s="1"/>
    </row>
    <row r="74" spans="1:28" ht="18.75" x14ac:dyDescent="0.25">
      <c r="A74" s="1"/>
      <c r="B74" s="139"/>
      <c r="C74" s="139"/>
      <c r="D74" s="139"/>
      <c r="E74" s="139"/>
      <c r="F74" s="139"/>
      <c r="G74" s="140"/>
      <c r="H74" s="112"/>
      <c r="I74" s="112"/>
      <c r="J74" s="112"/>
      <c r="K74" s="112"/>
      <c r="L74" s="112"/>
      <c r="M74" s="1"/>
      <c r="N74" s="12"/>
      <c r="O74" s="1"/>
      <c r="P74" s="45"/>
      <c r="Q74" s="135"/>
      <c r="R74" s="1"/>
      <c r="S74" s="1"/>
      <c r="T74" s="1"/>
      <c r="U74" s="1"/>
      <c r="V74" s="1"/>
      <c r="W74" s="1"/>
      <c r="X74" s="1"/>
      <c r="Y74" s="1"/>
      <c r="Z74" s="1"/>
    </row>
    <row r="75" spans="1:28" ht="18.75" x14ac:dyDescent="0.25">
      <c r="A75" s="1"/>
      <c r="B75" s="139"/>
      <c r="C75" s="139"/>
      <c r="D75" s="139"/>
      <c r="E75" s="139"/>
      <c r="F75" s="139"/>
      <c r="G75" s="140"/>
      <c r="H75" s="112"/>
      <c r="I75" s="112"/>
      <c r="J75" s="112"/>
      <c r="K75" s="112"/>
      <c r="L75" s="112"/>
      <c r="M75" s="1"/>
      <c r="N75" s="12"/>
      <c r="O75" s="1"/>
      <c r="P75" s="45"/>
      <c r="Q75" s="135"/>
      <c r="R75" s="1"/>
      <c r="S75" s="1"/>
      <c r="T75" s="36"/>
      <c r="U75" s="36"/>
      <c r="V75" s="36"/>
      <c r="W75" s="36"/>
      <c r="X75" s="36"/>
      <c r="Y75" s="36"/>
      <c r="Z75" s="36"/>
    </row>
    <row r="76" spans="1:28" ht="18.75" x14ac:dyDescent="0.25">
      <c r="B76" s="139"/>
      <c r="C76" s="139"/>
      <c r="D76" s="139"/>
      <c r="E76" s="139"/>
      <c r="F76" s="139"/>
      <c r="G76" s="140"/>
      <c r="H76" s="112"/>
      <c r="I76" s="112"/>
      <c r="J76" s="112"/>
      <c r="K76" s="112"/>
      <c r="L76" s="112"/>
      <c r="O76" s="1"/>
      <c r="P76" s="45"/>
      <c r="Q76" s="135"/>
      <c r="R76" s="1"/>
      <c r="S76" s="1"/>
      <c r="T76" s="1"/>
      <c r="U76" s="1"/>
      <c r="V76" s="1"/>
      <c r="W76" s="1"/>
      <c r="X76" s="1"/>
      <c r="Y76" s="1"/>
      <c r="Z76" s="1"/>
    </row>
    <row r="77" spans="1:28" ht="18.75" x14ac:dyDescent="0.25">
      <c r="A77" s="1"/>
      <c r="B77" s="139"/>
      <c r="C77" s="139"/>
      <c r="D77" s="139"/>
      <c r="E77" s="139"/>
      <c r="F77" s="139"/>
      <c r="G77" s="140"/>
    </row>
  </sheetData>
  <mergeCells count="15">
    <mergeCell ref="A1:Z1"/>
    <mergeCell ref="A2:B2"/>
    <mergeCell ref="N2:R2"/>
    <mergeCell ref="AU3:AX3"/>
    <mergeCell ref="N4:N25"/>
    <mergeCell ref="M5:M15"/>
    <mergeCell ref="AB8:AD8"/>
    <mergeCell ref="AE8:AS8"/>
    <mergeCell ref="M17:M65"/>
    <mergeCell ref="N26:N36"/>
    <mergeCell ref="N37:N47"/>
    <mergeCell ref="N48:N52"/>
    <mergeCell ref="N53:N54"/>
    <mergeCell ref="N55:N56"/>
    <mergeCell ref="A60:E60"/>
  </mergeCells>
  <printOptions horizontalCentered="1"/>
  <pageMargins left="0.15748031496062992" right="0.15748031496062992" top="0" bottom="0.11811023622047245" header="0.15748031496062992" footer="0.15748031496062992"/>
  <pageSetup paperSize="9" scale="3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C26A5"/>
    <pageSetUpPr fitToPage="1"/>
  </sheetPr>
  <dimension ref="A1:BD75"/>
  <sheetViews>
    <sheetView showGridLines="0" tabSelected="1" zoomScale="70" zoomScaleNormal="70" zoomScaleSheetLayoutView="55" workbookViewId="0">
      <selection sqref="A1:Z1"/>
    </sheetView>
  </sheetViews>
  <sheetFormatPr defaultColWidth="9.140625" defaultRowHeight="15.75" x14ac:dyDescent="0.25"/>
  <cols>
    <col min="1" max="1" width="78.5703125" customWidth="1"/>
    <col min="2" max="2" width="23" style="142" hidden="1" customWidth="1"/>
    <col min="3" max="3" width="21.42578125" style="142" hidden="1" customWidth="1"/>
    <col min="4" max="6" width="21.7109375" style="142" hidden="1" customWidth="1"/>
    <col min="7" max="7" width="22.7109375" style="141" customWidth="1"/>
    <col min="8" max="8" width="22.7109375" hidden="1" customWidth="1"/>
    <col min="9" max="9" width="22.7109375" customWidth="1"/>
    <col min="10" max="10" width="22.7109375" hidden="1" customWidth="1"/>
    <col min="11" max="11" width="19.7109375" hidden="1" customWidth="1"/>
    <col min="12" max="12" width="22.7109375" style="142" customWidth="1"/>
    <col min="13" max="13" width="2.5703125" customWidth="1"/>
    <col min="14" max="14" width="3.85546875" bestFit="1" customWidth="1"/>
    <col min="15" max="15" width="90.5703125" customWidth="1"/>
    <col min="16" max="16" width="20.42578125" style="141" hidden="1" customWidth="1"/>
    <col min="17" max="17" width="21.28515625" style="142" hidden="1" customWidth="1"/>
    <col min="18" max="20" width="21.7109375" style="142" hidden="1" customWidth="1"/>
    <col min="21" max="21" width="22.7109375" style="142" customWidth="1"/>
    <col min="22" max="22" width="21.42578125" style="142" hidden="1" customWidth="1"/>
    <col min="23" max="23" width="21.7109375" style="142" customWidth="1"/>
    <col min="24" max="24" width="21.7109375" style="142" hidden="1" customWidth="1"/>
    <col min="25" max="25" width="24.7109375" style="142" hidden="1" customWidth="1"/>
    <col min="26" max="26" width="21.7109375" style="142" customWidth="1"/>
    <col min="27" max="27" width="20.5703125" hidden="1" customWidth="1"/>
    <col min="28" max="28" width="19.28515625" hidden="1" customWidth="1"/>
    <col min="29" max="29" width="15.7109375" hidden="1" customWidth="1"/>
    <col min="30" max="30" width="17.5703125" hidden="1" customWidth="1"/>
    <col min="31" max="31" width="23.42578125" hidden="1" customWidth="1"/>
    <col min="32" max="34" width="20.7109375" hidden="1" customWidth="1"/>
    <col min="35" max="35" width="15.5703125" hidden="1" customWidth="1"/>
    <col min="36" max="36" width="13.28515625" hidden="1" customWidth="1"/>
    <col min="37" max="37" width="14.7109375" hidden="1" customWidth="1"/>
    <col min="38" max="39" width="13" hidden="1" customWidth="1"/>
    <col min="40" max="40" width="13.85546875" hidden="1" customWidth="1"/>
    <col min="41" max="41" width="17.28515625" hidden="1" customWidth="1"/>
    <col min="42" max="43" width="20.7109375" hidden="1" customWidth="1"/>
    <col min="44" max="44" width="17.5703125" hidden="1" customWidth="1"/>
    <col min="45" max="45" width="5" hidden="1" customWidth="1"/>
    <col min="46" max="46" width="15" hidden="1" customWidth="1"/>
    <col min="47" max="47" width="23" style="2" hidden="1" customWidth="1"/>
    <col min="48" max="48" width="19.7109375" style="3" hidden="1" customWidth="1"/>
    <col min="49" max="49" width="16" hidden="1" customWidth="1"/>
    <col min="50" max="50" width="20.42578125" hidden="1" customWidth="1"/>
    <col min="51" max="51" width="22.85546875" style="4" hidden="1" customWidth="1"/>
    <col min="52" max="52" width="20.85546875" style="4" hidden="1" customWidth="1"/>
    <col min="53" max="53" width="23.7109375" style="4" hidden="1" customWidth="1"/>
    <col min="54" max="54" width="20.85546875" style="5" hidden="1" customWidth="1"/>
    <col min="55" max="55" width="22.85546875" hidden="1" customWidth="1"/>
    <col min="56" max="56" width="18.5703125" hidden="1" customWidth="1"/>
    <col min="57" max="60" width="21.7109375" customWidth="1"/>
  </cols>
  <sheetData>
    <row r="1" spans="1:56" ht="26.25" customHeight="1" x14ac:dyDescent="0.25">
      <c r="A1" s="150" t="s">
        <v>132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"/>
      <c r="AB1" s="1"/>
      <c r="AC1" s="1"/>
      <c r="AD1" s="1"/>
      <c r="AE1" s="1"/>
    </row>
    <row r="2" spans="1:56" s="10" customFormat="1" ht="26.25" customHeight="1" x14ac:dyDescent="0.2">
      <c r="A2" s="151" t="s">
        <v>0</v>
      </c>
      <c r="B2" s="151"/>
      <c r="C2" s="6"/>
      <c r="D2" s="6"/>
      <c r="E2" s="6"/>
      <c r="F2" s="6"/>
      <c r="G2" s="7"/>
      <c r="H2" s="8"/>
      <c r="I2" s="8"/>
      <c r="J2" s="8"/>
      <c r="K2" s="8"/>
      <c r="L2" s="8"/>
      <c r="M2" s="9"/>
      <c r="N2" s="151" t="s">
        <v>1</v>
      </c>
      <c r="O2" s="151"/>
      <c r="P2" s="151"/>
      <c r="Q2" s="151"/>
      <c r="R2" s="151"/>
      <c r="U2" s="11"/>
      <c r="X2" s="12" t="s">
        <v>2</v>
      </c>
      <c r="Y2" s="12"/>
      <c r="Z2" s="12"/>
      <c r="AU2" s="13"/>
      <c r="AV2" s="14"/>
      <c r="AY2" s="15"/>
      <c r="AZ2" s="15"/>
      <c r="BA2" s="15"/>
      <c r="BB2" s="16"/>
    </row>
    <row r="3" spans="1:56" ht="82.9" customHeight="1" x14ac:dyDescent="0.3">
      <c r="A3" s="17" t="s">
        <v>3</v>
      </c>
      <c r="B3" s="18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144</v>
      </c>
      <c r="J3" s="19" t="s">
        <v>130</v>
      </c>
      <c r="K3" s="19" t="s">
        <v>134</v>
      </c>
      <c r="L3" s="19" t="s">
        <v>146</v>
      </c>
      <c r="M3" s="20"/>
      <c r="N3" s="17"/>
      <c r="O3" s="17" t="s">
        <v>3</v>
      </c>
      <c r="P3" s="18" t="s">
        <v>4</v>
      </c>
      <c r="Q3" s="19" t="s">
        <v>5</v>
      </c>
      <c r="R3" s="19" t="s">
        <v>6</v>
      </c>
      <c r="S3" s="19" t="s">
        <v>7</v>
      </c>
      <c r="T3" s="19" t="s">
        <v>8</v>
      </c>
      <c r="U3" s="19" t="s">
        <v>9</v>
      </c>
      <c r="V3" s="19" t="s">
        <v>10</v>
      </c>
      <c r="W3" s="19" t="s">
        <v>144</v>
      </c>
      <c r="X3" s="19" t="s">
        <v>131</v>
      </c>
      <c r="Y3" s="19" t="s">
        <v>134</v>
      </c>
      <c r="Z3" s="19" t="s">
        <v>145</v>
      </c>
      <c r="AA3" s="1"/>
      <c r="AB3" s="1"/>
      <c r="AC3" s="1"/>
      <c r="AD3" s="1"/>
      <c r="AE3" s="1"/>
      <c r="AU3" s="152" t="s">
        <v>12</v>
      </c>
      <c r="AV3" s="152"/>
      <c r="AW3" s="152"/>
      <c r="AX3" s="152"/>
    </row>
    <row r="4" spans="1:56" ht="21.75" x14ac:dyDescent="0.25">
      <c r="A4" s="21" t="s">
        <v>13</v>
      </c>
      <c r="B4" s="22">
        <f t="shared" ref="B4:F4" si="0">SUM(B10:B13,B5:B7)</f>
        <v>25658764.500000004</v>
      </c>
      <c r="C4" s="22">
        <f t="shared" si="0"/>
        <v>34128412.5</v>
      </c>
      <c r="D4" s="22">
        <f t="shared" si="0"/>
        <v>43005814.050000004</v>
      </c>
      <c r="E4" s="22">
        <f t="shared" si="0"/>
        <v>50447786.392000005</v>
      </c>
      <c r="F4" s="22">
        <f t="shared" si="0"/>
        <v>56901264.030000001</v>
      </c>
      <c r="G4" s="22">
        <v>53123698.905000001</v>
      </c>
      <c r="H4" s="22">
        <v>54928544.799999997</v>
      </c>
      <c r="I4" s="22">
        <v>60183940.762999997</v>
      </c>
      <c r="J4" s="22">
        <v>59293419.5</v>
      </c>
      <c r="K4" s="22">
        <v>2573475.1</v>
      </c>
      <c r="L4" s="22">
        <v>62448613.600000001</v>
      </c>
      <c r="M4" s="23"/>
      <c r="N4" s="153" t="s">
        <v>14</v>
      </c>
      <c r="O4" s="24" t="s">
        <v>15</v>
      </c>
      <c r="P4" s="22">
        <f>SUM(P5:P7)+4340</f>
        <v>689129.7</v>
      </c>
      <c r="Q4" s="22">
        <f>SUM(Q5:Q7)+49621.451+0.035</f>
        <v>742026.11900000006</v>
      </c>
      <c r="R4" s="22">
        <v>1059509.04</v>
      </c>
      <c r="S4" s="22">
        <f>SUM(S5:S7)+23062.891+1.921-1000</f>
        <v>739712.82499999995</v>
      </c>
      <c r="T4" s="22">
        <f>SUM(T5:T7)+5362.17+3284.64</f>
        <v>406558.54</v>
      </c>
      <c r="U4" s="22">
        <v>538454.74199999997</v>
      </c>
      <c r="V4" s="22">
        <v>959700</v>
      </c>
      <c r="W4" s="22">
        <v>1026004.632</v>
      </c>
      <c r="X4" s="22">
        <v>1187234</v>
      </c>
      <c r="Y4" s="22">
        <v>0</v>
      </c>
      <c r="Z4" s="22">
        <v>9876</v>
      </c>
      <c r="AA4" s="1"/>
      <c r="AB4" s="1"/>
      <c r="AC4" s="1"/>
      <c r="AD4" s="1"/>
      <c r="AE4" s="1"/>
    </row>
    <row r="5" spans="1:56" ht="22.5" x14ac:dyDescent="0.3">
      <c r="A5" s="25" t="s">
        <v>16</v>
      </c>
      <c r="B5" s="26">
        <v>8042566.9000000004</v>
      </c>
      <c r="C5" s="26">
        <v>11085651.5</v>
      </c>
      <c r="D5" s="26">
        <v>14628160.68</v>
      </c>
      <c r="E5" s="26">
        <f>18587100.557</f>
        <v>18587100.557</v>
      </c>
      <c r="F5" s="26">
        <v>23034611.09</v>
      </c>
      <c r="G5" s="26">
        <v>24566415.386</v>
      </c>
      <c r="H5" s="26">
        <v>27630653</v>
      </c>
      <c r="I5" s="26">
        <v>27889195.600000001</v>
      </c>
      <c r="J5" s="26">
        <v>29396595.5</v>
      </c>
      <c r="K5" s="26">
        <v>958000</v>
      </c>
      <c r="L5" s="26">
        <v>30614595.5</v>
      </c>
      <c r="M5" s="154"/>
      <c r="N5" s="153"/>
      <c r="O5" s="25" t="s">
        <v>17</v>
      </c>
      <c r="P5" s="26">
        <v>272099.09999999998</v>
      </c>
      <c r="Q5" s="26">
        <v>92425.653000000006</v>
      </c>
      <c r="R5" s="26">
        <v>-2105.9699999999998</v>
      </c>
      <c r="S5" s="26">
        <v>149206.239</v>
      </c>
      <c r="T5" s="26">
        <v>68464.479999999996</v>
      </c>
      <c r="U5" s="26">
        <v>155973.12700000001</v>
      </c>
      <c r="V5" s="26">
        <v>100000</v>
      </c>
      <c r="W5" s="26">
        <v>100000</v>
      </c>
      <c r="X5" s="26">
        <v>300000</v>
      </c>
      <c r="Y5" s="26"/>
      <c r="Z5" s="26">
        <v>1</v>
      </c>
      <c r="AA5" s="1"/>
      <c r="AB5" s="1"/>
      <c r="AC5" s="1"/>
      <c r="AD5" s="1"/>
      <c r="AE5" s="1"/>
      <c r="AU5" s="146" t="s">
        <v>18</v>
      </c>
      <c r="AV5" s="146">
        <v>7340</v>
      </c>
      <c r="AW5" s="28">
        <v>7363</v>
      </c>
      <c r="AX5" s="28" t="s">
        <v>19</v>
      </c>
    </row>
    <row r="6" spans="1:56" ht="22.5" x14ac:dyDescent="0.25">
      <c r="A6" s="25" t="s">
        <v>20</v>
      </c>
      <c r="B6" s="26">
        <v>1624927.7</v>
      </c>
      <c r="C6" s="26">
        <f>2889996+41832</f>
        <v>2931828</v>
      </c>
      <c r="D6" s="26">
        <v>3025629</v>
      </c>
      <c r="E6" s="26">
        <v>4284794.8550000004</v>
      </c>
      <c r="F6" s="26">
        <v>5106247.13</v>
      </c>
      <c r="G6" s="26">
        <v>5136049.5120000001</v>
      </c>
      <c r="H6" s="26">
        <v>5003758</v>
      </c>
      <c r="I6" s="26">
        <v>6212704.7999999998</v>
      </c>
      <c r="J6" s="26">
        <v>5876000</v>
      </c>
      <c r="K6" s="26"/>
      <c r="L6" s="26">
        <v>5876000</v>
      </c>
      <c r="M6" s="154"/>
      <c r="N6" s="153"/>
      <c r="O6" s="25" t="s">
        <v>21</v>
      </c>
      <c r="P6" s="26">
        <v>79323.7</v>
      </c>
      <c r="Q6" s="26">
        <v>36850.559999999998</v>
      </c>
      <c r="R6" s="26">
        <v>174029.63</v>
      </c>
      <c r="S6" s="26">
        <v>88298.584000000003</v>
      </c>
      <c r="T6" s="26">
        <v>45220.1</v>
      </c>
      <c r="U6" s="26">
        <v>43010.034</v>
      </c>
      <c r="V6" s="26">
        <v>849700</v>
      </c>
      <c r="W6" s="26">
        <v>888112.2</v>
      </c>
      <c r="X6" s="26">
        <v>877200</v>
      </c>
      <c r="Y6" s="26"/>
      <c r="Z6" s="26">
        <v>877200</v>
      </c>
      <c r="AA6" s="1"/>
      <c r="AB6" s="1"/>
      <c r="AC6" s="1"/>
      <c r="AD6" s="1"/>
      <c r="AE6" s="1"/>
      <c r="AW6" s="29" t="s">
        <v>22</v>
      </c>
    </row>
    <row r="7" spans="1:56" ht="22.5" x14ac:dyDescent="0.2">
      <c r="A7" s="25" t="s">
        <v>23</v>
      </c>
      <c r="B7" s="30">
        <v>2950501.1</v>
      </c>
      <c r="C7" s="30">
        <v>5493108.2999999998</v>
      </c>
      <c r="D7" s="26">
        <v>5545873.2400000002</v>
      </c>
      <c r="E7" s="26">
        <v>5984821.3530000001</v>
      </c>
      <c r="F7" s="26">
        <v>6880037.6600000001</v>
      </c>
      <c r="G7" s="26">
        <v>6470708.2929999996</v>
      </c>
      <c r="H7" s="26">
        <v>6473996</v>
      </c>
      <c r="I7" s="26">
        <v>6976198.9000000004</v>
      </c>
      <c r="J7" s="26">
        <v>6739192.5999999996</v>
      </c>
      <c r="K7" s="26">
        <v>361000</v>
      </c>
      <c r="L7" s="26">
        <v>7212292.5999999996</v>
      </c>
      <c r="M7" s="154"/>
      <c r="N7" s="153"/>
      <c r="O7" s="25" t="s">
        <v>24</v>
      </c>
      <c r="P7" s="26">
        <v>333366.90000000002</v>
      </c>
      <c r="Q7" s="26">
        <v>563128.42000000004</v>
      </c>
      <c r="R7" s="26">
        <v>793396.99</v>
      </c>
      <c r="S7" s="26">
        <f>480143.19</f>
        <v>480143.19</v>
      </c>
      <c r="T7" s="26">
        <v>284227.15000000002</v>
      </c>
      <c r="U7" s="26">
        <v>332193.78499999997</v>
      </c>
      <c r="V7" s="26">
        <v>0</v>
      </c>
      <c r="W7" s="26">
        <v>0</v>
      </c>
      <c r="X7" s="26">
        <v>0</v>
      </c>
      <c r="Y7" s="26"/>
      <c r="Z7" s="26">
        <v>0</v>
      </c>
      <c r="AA7" s="1"/>
      <c r="AB7" s="1"/>
      <c r="AC7" s="1"/>
      <c r="AD7" s="1"/>
      <c r="AE7" s="1"/>
      <c r="AY7" s="31" t="s">
        <v>25</v>
      </c>
      <c r="AZ7" s="31" t="s">
        <v>26</v>
      </c>
      <c r="BA7" s="31" t="s">
        <v>27</v>
      </c>
    </row>
    <row r="8" spans="1:56" ht="22.5" x14ac:dyDescent="0.25">
      <c r="A8" s="32" t="s">
        <v>28</v>
      </c>
      <c r="B8" s="33">
        <v>2644941.6</v>
      </c>
      <c r="C8" s="33">
        <v>5123725.2</v>
      </c>
      <c r="D8" s="33">
        <v>5023590.97</v>
      </c>
      <c r="E8" s="33">
        <f>2204961.678+2836330.871+70289.446+26528.734</f>
        <v>5138110.7289999994</v>
      </c>
      <c r="F8" s="33">
        <f>2400050.19+3131438.19+76589.63+25951.86</f>
        <v>5634029.8700000001</v>
      </c>
      <c r="G8" s="33">
        <v>4916077.5879999995</v>
      </c>
      <c r="H8" s="33">
        <v>4768389</v>
      </c>
      <c r="I8" s="33">
        <v>5120482.4000000004</v>
      </c>
      <c r="J8" s="33">
        <v>5008389</v>
      </c>
      <c r="K8" s="33"/>
      <c r="L8" s="26">
        <v>5120488.9999999991</v>
      </c>
      <c r="M8" s="154"/>
      <c r="N8" s="153"/>
      <c r="O8" s="34" t="s">
        <v>29</v>
      </c>
      <c r="P8" s="35">
        <f>P9+P10</f>
        <v>3301274.9</v>
      </c>
      <c r="Q8" s="35">
        <f>SUM(Q9,Q10)</f>
        <v>7412281.2255000006</v>
      </c>
      <c r="R8" s="35">
        <f t="shared" ref="R8:T8" si="1">SUM(R9,R10)</f>
        <v>13249131.800000001</v>
      </c>
      <c r="S8" s="35">
        <f t="shared" si="1"/>
        <v>15987440.805</v>
      </c>
      <c r="T8" s="35">
        <f t="shared" si="1"/>
        <v>16203532.849999998</v>
      </c>
      <c r="U8" s="35">
        <v>14079121.130999999</v>
      </c>
      <c r="V8" s="35">
        <v>9297085.625</v>
      </c>
      <c r="W8" s="35">
        <v>22681682.960999999</v>
      </c>
      <c r="X8" s="35">
        <v>13625259.763</v>
      </c>
      <c r="Y8" s="35">
        <v>-93686.305000000168</v>
      </c>
      <c r="Z8" s="35">
        <v>12707976.852</v>
      </c>
      <c r="AA8" s="36">
        <f>2156177.319-AA10</f>
        <v>2156177.3190000001</v>
      </c>
      <c r="AB8" s="155" t="s">
        <v>30</v>
      </c>
      <c r="AC8" s="155"/>
      <c r="AD8" s="155"/>
      <c r="AE8" s="156" t="s">
        <v>31</v>
      </c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37"/>
      <c r="AY8" s="38"/>
      <c r="AZ8" s="39"/>
      <c r="BA8" s="39"/>
    </row>
    <row r="9" spans="1:56" ht="22.5" x14ac:dyDescent="0.25">
      <c r="A9" s="32" t="s">
        <v>32</v>
      </c>
      <c r="B9" s="33">
        <v>138314.9</v>
      </c>
      <c r="C9" s="33">
        <v>94005</v>
      </c>
      <c r="D9" s="33">
        <v>72974.48</v>
      </c>
      <c r="E9" s="33">
        <f>51802.902+43157.689</f>
        <v>94960.591</v>
      </c>
      <c r="F9" s="33">
        <v>35716.11</v>
      </c>
      <c r="G9" s="33">
        <v>71510.440999999992</v>
      </c>
      <c r="H9" s="33">
        <v>73607</v>
      </c>
      <c r="I9" s="33">
        <v>73607</v>
      </c>
      <c r="J9" s="33">
        <v>42090</v>
      </c>
      <c r="K9" s="33"/>
      <c r="L9" s="26">
        <v>42090</v>
      </c>
      <c r="M9" s="154"/>
      <c r="N9" s="153"/>
      <c r="O9" s="40" t="s">
        <v>33</v>
      </c>
      <c r="P9" s="41">
        <v>58869.5</v>
      </c>
      <c r="Q9" s="42">
        <v>41860</v>
      </c>
      <c r="R9" s="41">
        <v>534100</v>
      </c>
      <c r="S9" s="41">
        <v>2000913.6</v>
      </c>
      <c r="T9" s="41">
        <v>303566.87</v>
      </c>
      <c r="U9" s="41">
        <v>0</v>
      </c>
      <c r="V9" s="41">
        <v>0</v>
      </c>
      <c r="W9" s="41">
        <v>2125000</v>
      </c>
      <c r="X9" s="41"/>
      <c r="Y9" s="41"/>
      <c r="Z9" s="41">
        <v>0</v>
      </c>
      <c r="AA9" s="147" t="s">
        <v>34</v>
      </c>
      <c r="AB9" s="44" t="s">
        <v>35</v>
      </c>
      <c r="AC9" s="147" t="s">
        <v>36</v>
      </c>
      <c r="AD9" s="45" t="s">
        <v>37</v>
      </c>
      <c r="AE9" s="46" t="s">
        <v>38</v>
      </c>
      <c r="AF9" s="46" t="s">
        <v>39</v>
      </c>
      <c r="AG9" s="47" t="s">
        <v>40</v>
      </c>
      <c r="AH9" s="47" t="s">
        <v>41</v>
      </c>
      <c r="AP9" s="47" t="s">
        <v>42</v>
      </c>
      <c r="AQ9" s="48">
        <v>-15899965.98</v>
      </c>
      <c r="AY9" s="38"/>
      <c r="AZ9" s="39"/>
      <c r="BA9" s="39"/>
    </row>
    <row r="10" spans="1:56" ht="22.5" x14ac:dyDescent="0.25">
      <c r="A10" s="25" t="s">
        <v>43</v>
      </c>
      <c r="B10" s="26">
        <v>975550.7</v>
      </c>
      <c r="C10" s="26">
        <v>1366404.8</v>
      </c>
      <c r="D10" s="26">
        <v>1589749.4</v>
      </c>
      <c r="E10" s="26">
        <v>1732729.598</v>
      </c>
      <c r="F10" s="26">
        <v>1896782.25</v>
      </c>
      <c r="G10" s="26">
        <v>2166580.1269999999</v>
      </c>
      <c r="H10" s="26">
        <v>2032350</v>
      </c>
      <c r="I10" s="26">
        <v>2146180.5</v>
      </c>
      <c r="J10" s="26">
        <v>2228741</v>
      </c>
      <c r="K10" s="26">
        <v>133000</v>
      </c>
      <c r="L10" s="26">
        <v>2361741</v>
      </c>
      <c r="M10" s="154"/>
      <c r="N10" s="153"/>
      <c r="O10" s="40" t="s">
        <v>44</v>
      </c>
      <c r="P10" s="41">
        <f>SUM(P11:P20)</f>
        <v>3242405.4</v>
      </c>
      <c r="Q10" s="41">
        <f t="shared" ref="Q10:AA10" si="2">SUM(Q11:Q20)</f>
        <v>7370421.2255000006</v>
      </c>
      <c r="R10" s="41">
        <f t="shared" si="2"/>
        <v>12715031.800000001</v>
      </c>
      <c r="S10" s="41">
        <f t="shared" si="2"/>
        <v>13986527.205</v>
      </c>
      <c r="T10" s="41">
        <f t="shared" si="2"/>
        <v>15899965.979999999</v>
      </c>
      <c r="U10" s="41">
        <v>14079121.130999999</v>
      </c>
      <c r="V10" s="41">
        <v>9297085.625</v>
      </c>
      <c r="W10" s="41">
        <v>20556682.960999999</v>
      </c>
      <c r="X10" s="41">
        <v>13625259.763</v>
      </c>
      <c r="Y10" s="41">
        <v>-93686.305000000168</v>
      </c>
      <c r="Z10" s="41">
        <v>12707976.852</v>
      </c>
      <c r="AA10" s="49">
        <f t="shared" si="2"/>
        <v>0</v>
      </c>
      <c r="AB10" s="50">
        <f>SUM(AB11:AB21)</f>
        <v>14858509.224000001</v>
      </c>
      <c r="AC10" s="50">
        <f>SUM(AC11:AC21)</f>
        <v>815290.81900000002</v>
      </c>
      <c r="AD10" s="50">
        <f>SUM(AD11:AD21)</f>
        <v>310670.03199999995</v>
      </c>
      <c r="AE10" s="51">
        <f t="shared" ref="AE10:AN10" si="3">SUM(AE11:AE20)</f>
        <v>315530.08</v>
      </c>
      <c r="AF10" s="51">
        <f t="shared" si="3"/>
        <v>277313.82</v>
      </c>
      <c r="AG10" s="51">
        <f t="shared" si="3"/>
        <v>11409304.050000001</v>
      </c>
      <c r="AH10" s="52">
        <f t="shared" si="3"/>
        <v>3446357.11</v>
      </c>
      <c r="AI10" s="53">
        <f t="shared" si="3"/>
        <v>2674141.4300000002</v>
      </c>
      <c r="AJ10" s="53">
        <f t="shared" si="3"/>
        <v>34828.69</v>
      </c>
      <c r="AK10" s="53">
        <f t="shared" si="3"/>
        <v>631034.01</v>
      </c>
      <c r="AL10" s="53">
        <f t="shared" si="3"/>
        <v>77122.11</v>
      </c>
      <c r="AM10" s="53">
        <f t="shared" si="3"/>
        <v>19023.97</v>
      </c>
      <c r="AN10" s="53">
        <f t="shared" si="3"/>
        <v>10206.9</v>
      </c>
      <c r="AO10" s="54"/>
      <c r="AP10" s="52">
        <f t="shared" ref="AP10" si="4">SUM(AP11:AP20)</f>
        <v>455098.07</v>
      </c>
      <c r="AQ10" s="48">
        <f>AE10+AF10+AG10+AH10+AP10</f>
        <v>15903603.130000001</v>
      </c>
      <c r="AR10" s="48">
        <f>T10-AQ10</f>
        <v>-3637.1500000022352</v>
      </c>
      <c r="AS10" s="48">
        <f>AR10+AF22</f>
        <v>-3637.1500000022352</v>
      </c>
      <c r="AT10" s="48"/>
      <c r="AU10" s="55">
        <f>AU11+AU12+AU13+AU14+AU15+AU16+AU17+AU18+AU19+AU20</f>
        <v>3024336.6969999997</v>
      </c>
      <c r="AV10" s="55">
        <f t="shared" ref="AV10:AW10" si="5">AV11+AV12+AV13+AV14+AV15+AV16+AV17+AV18+AV19+AV20</f>
        <v>52432.154000000002</v>
      </c>
      <c r="AW10" s="55">
        <f t="shared" si="5"/>
        <v>130584.48799999998</v>
      </c>
      <c r="AX10" s="56">
        <f>AU10+AV10+AW10</f>
        <v>3207353.3389999997</v>
      </c>
      <c r="AY10" s="38"/>
      <c r="AZ10" s="39">
        <v>3058692.3689999999</v>
      </c>
      <c r="BA10" s="39"/>
      <c r="BC10" s="26">
        <f>BC11+BC12+BC13+BC14+BC15+BC16+BC17+BC18+BC19+BC20</f>
        <v>13625259.762999998</v>
      </c>
      <c r="BD10" s="26">
        <f>X10-BC10</f>
        <v>0</v>
      </c>
    </row>
    <row r="11" spans="1:56" ht="21.6" customHeight="1" x14ac:dyDescent="0.2">
      <c r="A11" s="25" t="s">
        <v>45</v>
      </c>
      <c r="B11" s="26">
        <v>1922474.5</v>
      </c>
      <c r="C11" s="26">
        <v>3120118.4</v>
      </c>
      <c r="D11" s="26">
        <v>4133852.3</v>
      </c>
      <c r="E11" s="26">
        <f>5486430.725</f>
        <v>5486430.7249999996</v>
      </c>
      <c r="F11" s="26">
        <v>6915598.2999999998</v>
      </c>
      <c r="G11" s="26">
        <v>7625902.3480000002</v>
      </c>
      <c r="H11" s="26">
        <v>7328000</v>
      </c>
      <c r="I11" s="26">
        <v>9545924.3000000007</v>
      </c>
      <c r="J11" s="26">
        <v>8272300</v>
      </c>
      <c r="K11" s="26">
        <v>808000</v>
      </c>
      <c r="L11" s="26">
        <v>9080300</v>
      </c>
      <c r="M11" s="154"/>
      <c r="N11" s="153"/>
      <c r="O11" s="25" t="s">
        <v>46</v>
      </c>
      <c r="P11" s="26">
        <f>43460+3410.9</f>
        <v>46870.9</v>
      </c>
      <c r="Q11" s="30">
        <f>79380.09844+34434.8</f>
        <v>113814.89844</v>
      </c>
      <c r="R11" s="26">
        <v>124030.89</v>
      </c>
      <c r="S11" s="26">
        <f>AA11+AB11+AC11+AD11</f>
        <v>47885.224000000002</v>
      </c>
      <c r="T11" s="26">
        <f>AE11+AF11+AG11+AH11+AP11</f>
        <v>56332.800000000003</v>
      </c>
      <c r="U11" s="33">
        <v>64594.8</v>
      </c>
      <c r="V11" s="26">
        <v>46785.95</v>
      </c>
      <c r="W11" s="26">
        <v>79152.434999999998</v>
      </c>
      <c r="X11" s="26">
        <v>30521.599999999999</v>
      </c>
      <c r="Y11" s="70">
        <v>5000</v>
      </c>
      <c r="Z11" s="26">
        <v>64227.560000000005</v>
      </c>
      <c r="AA11" s="36"/>
      <c r="AB11" s="57">
        <v>24534.717000000001</v>
      </c>
      <c r="AC11" s="57">
        <v>23350.507000000001</v>
      </c>
      <c r="AD11" s="57"/>
      <c r="AE11" s="58"/>
      <c r="AF11" s="58"/>
      <c r="AG11" s="58">
        <f>29097.63</f>
        <v>29097.63</v>
      </c>
      <c r="AH11" s="59">
        <v>6622.8</v>
      </c>
      <c r="AI11" s="60"/>
      <c r="AJ11" s="60">
        <v>6622.8</v>
      </c>
      <c r="AK11" s="60"/>
      <c r="AL11" s="60"/>
      <c r="AM11" s="60"/>
      <c r="AN11" s="60"/>
      <c r="AO11" s="60">
        <f>AH11-AI11-AJ11-AK11-AL11-AN11-AM11</f>
        <v>0</v>
      </c>
      <c r="AP11" s="58">
        <v>20612.37</v>
      </c>
      <c r="AU11" s="61">
        <v>3249.8040000000001</v>
      </c>
      <c r="AV11" s="61"/>
      <c r="AW11" s="61"/>
      <c r="AY11" s="39">
        <v>44158.686000000002</v>
      </c>
      <c r="AZ11" s="39"/>
      <c r="BA11" s="39">
        <f>AY11+AZ11</f>
        <v>44158.686000000002</v>
      </c>
      <c r="BB11" s="31">
        <f>U11-BA11</f>
        <v>20436.114000000001</v>
      </c>
      <c r="BC11" s="70">
        <f>30521.6</f>
        <v>30521.599999999999</v>
      </c>
    </row>
    <row r="12" spans="1:56" ht="22.5" x14ac:dyDescent="0.2">
      <c r="A12" s="25" t="s">
        <v>47</v>
      </c>
      <c r="B12" s="62">
        <v>666985.6</v>
      </c>
      <c r="C12" s="62">
        <f>712135.6+234.1</f>
        <v>712369.7</v>
      </c>
      <c r="D12" s="26">
        <v>1035236.08</v>
      </c>
      <c r="E12" s="26">
        <f>32041.298+52918.42-889.115+32983.588+59.782+37.572+738982.096+2000.562</f>
        <v>858134.2030000001</v>
      </c>
      <c r="F12" s="26">
        <f>47135.43+66.57+63628.67+9.27+85.75+703002.68+785.65+35716.1</f>
        <v>850430.12000000011</v>
      </c>
      <c r="G12" s="26">
        <v>787894.59600000002</v>
      </c>
      <c r="H12" s="26">
        <v>734440</v>
      </c>
      <c r="I12" s="26">
        <v>830400.2</v>
      </c>
      <c r="J12" s="26">
        <v>781383</v>
      </c>
      <c r="K12" s="26"/>
      <c r="L12" s="26">
        <v>790583</v>
      </c>
      <c r="M12" s="154"/>
      <c r="N12" s="153"/>
      <c r="O12" s="25" t="s">
        <v>48</v>
      </c>
      <c r="P12" s="26">
        <f>279900.8+257843.41</f>
        <v>537744.21</v>
      </c>
      <c r="Q12" s="30">
        <f>625507.57205+408424.6</f>
        <v>1033932.1720499999</v>
      </c>
      <c r="R12" s="26">
        <v>1826341.61</v>
      </c>
      <c r="S12" s="26">
        <f t="shared" ref="S12:S19" si="6">AA12+AB12+AC12+AD12</f>
        <v>1786693.9340000001</v>
      </c>
      <c r="T12" s="26">
        <f t="shared" ref="T12:T19" si="7">AE12+AF12+AG12+AH12+AP12</f>
        <v>1938550.23</v>
      </c>
      <c r="U12" s="33">
        <v>2848937.8169999998</v>
      </c>
      <c r="V12" s="26">
        <v>1225206.72</v>
      </c>
      <c r="W12" s="26">
        <v>1955530.939</v>
      </c>
      <c r="X12" s="26">
        <v>1510475.05</v>
      </c>
      <c r="Y12" s="70">
        <v>398760</v>
      </c>
      <c r="Z12" s="26">
        <v>1818365.534</v>
      </c>
      <c r="AA12" s="36"/>
      <c r="AB12" s="57">
        <f>1164338.982+243229.582+(31493.968)</f>
        <v>1439062.5320000001</v>
      </c>
      <c r="AC12" s="57">
        <v>246863.17499999999</v>
      </c>
      <c r="AD12" s="57">
        <f>4607.221+45749.053+5170.123+12083.66+1000+2678.334+104.62+1350+28025.216</f>
        <v>100768.227</v>
      </c>
      <c r="AE12" s="58">
        <v>84317.78</v>
      </c>
      <c r="AF12" s="58">
        <v>10125</v>
      </c>
      <c r="AG12" s="58">
        <v>723412.65</v>
      </c>
      <c r="AH12" s="59">
        <f>596312.26+415799.6+1438.54+0.01</f>
        <v>1013550.41</v>
      </c>
      <c r="AI12" s="60">
        <v>596312.26</v>
      </c>
      <c r="AJ12" s="60"/>
      <c r="AK12" s="60">
        <v>415799.61</v>
      </c>
      <c r="AL12" s="60"/>
      <c r="AM12" s="60"/>
      <c r="AN12" s="60">
        <v>1438.54</v>
      </c>
      <c r="AO12" s="60">
        <f t="shared" ref="AO12:AO20" si="8">AH12-AI12-AJ12-AK12-AL12-AN12-AM12</f>
        <v>3.7289282772690058E-11</v>
      </c>
      <c r="AP12" s="58">
        <v>107144.39</v>
      </c>
      <c r="AU12" s="61">
        <v>806711.84699999995</v>
      </c>
      <c r="AV12" s="61"/>
      <c r="AW12" s="61">
        <v>42037.758000000002</v>
      </c>
      <c r="AY12" s="39">
        <v>1679501.554</v>
      </c>
      <c r="AZ12" s="39">
        <f>26485.162+760463.437</f>
        <v>786948.59900000005</v>
      </c>
      <c r="BA12" s="39">
        <f t="shared" ref="BA12:BA20" si="9">AY12+AZ12</f>
        <v>2466450.1529999999</v>
      </c>
      <c r="BB12" s="31">
        <f t="shared" ref="BB12:BB20" si="10">U12-BA12</f>
        <v>382487.66399999987</v>
      </c>
      <c r="BC12" s="70">
        <f>700000+804006.3+6468.75</f>
        <v>1510475.05</v>
      </c>
    </row>
    <row r="13" spans="1:56" ht="22.5" x14ac:dyDescent="0.2">
      <c r="A13" s="63" t="s">
        <v>49</v>
      </c>
      <c r="B13" s="41">
        <f>SUM(B14:B19)+677871.5</f>
        <v>9475758</v>
      </c>
      <c r="C13" s="41">
        <f>SUM(C14:C21)+78305.8</f>
        <v>9418931.8000000007</v>
      </c>
      <c r="D13" s="41">
        <v>13047313.35</v>
      </c>
      <c r="E13" s="41">
        <v>13513775.101</v>
      </c>
      <c r="F13" s="41">
        <f>12217557.48</f>
        <v>12217557.48</v>
      </c>
      <c r="G13" s="41">
        <v>6370148.6430000002</v>
      </c>
      <c r="H13" s="41">
        <v>5725347.7999999998</v>
      </c>
      <c r="I13" s="41">
        <v>6583336.4630000005</v>
      </c>
      <c r="J13" s="41">
        <v>5999207.4000000004</v>
      </c>
      <c r="K13" s="41">
        <v>313475.09999999998</v>
      </c>
      <c r="L13" s="41">
        <v>6513101.5</v>
      </c>
      <c r="M13" s="154"/>
      <c r="N13" s="153"/>
      <c r="O13" s="25" t="s">
        <v>50</v>
      </c>
      <c r="P13" s="26">
        <f>95154.4+50553.2</f>
        <v>145707.59999999998</v>
      </c>
      <c r="Q13" s="30">
        <f>882297.85278+80249.2</f>
        <v>962547.05277999991</v>
      </c>
      <c r="R13" s="26">
        <v>1222323.07</v>
      </c>
      <c r="S13" s="26">
        <f t="shared" si="6"/>
        <v>1409371.524</v>
      </c>
      <c r="T13" s="26">
        <f t="shared" si="7"/>
        <v>1922939.52</v>
      </c>
      <c r="U13" s="33">
        <v>1656894.507</v>
      </c>
      <c r="V13" s="26">
        <v>491509.6</v>
      </c>
      <c r="W13" s="26">
        <v>1602792.1089999999</v>
      </c>
      <c r="X13" s="26">
        <v>459955.1</v>
      </c>
      <c r="Y13" s="70">
        <v>182260</v>
      </c>
      <c r="Z13" s="26">
        <v>646796.19999999995</v>
      </c>
      <c r="AA13" s="36"/>
      <c r="AB13" s="57">
        <v>1371007.953</v>
      </c>
      <c r="AC13" s="57">
        <f>28581.722+100.278</f>
        <v>28682</v>
      </c>
      <c r="AD13" s="57">
        <f>4716.89+4964.681</f>
        <v>9681.5709999999999</v>
      </c>
      <c r="AE13" s="58">
        <v>87899.91</v>
      </c>
      <c r="AF13" s="58">
        <v>2355.6999999999998</v>
      </c>
      <c r="AG13" s="58">
        <v>1549165.63</v>
      </c>
      <c r="AH13" s="59">
        <f>163284.96+76897.29+3246.38</f>
        <v>243428.63</v>
      </c>
      <c r="AI13" s="60">
        <v>163284.96</v>
      </c>
      <c r="AJ13" s="60"/>
      <c r="AK13" s="60"/>
      <c r="AL13" s="60">
        <v>76897.289999999994</v>
      </c>
      <c r="AM13" s="60"/>
      <c r="AN13" s="60">
        <v>3246.38</v>
      </c>
      <c r="AO13" s="60">
        <f t="shared" si="8"/>
        <v>1.9099388737231493E-11</v>
      </c>
      <c r="AP13" s="58">
        <v>40089.65</v>
      </c>
      <c r="AU13" s="61">
        <f>167892.301</f>
        <v>167892.30100000001</v>
      </c>
      <c r="AV13" s="64">
        <v>1452.3440000000001</v>
      </c>
      <c r="AW13" s="61">
        <v>16601.935000000001</v>
      </c>
      <c r="AY13" s="39">
        <v>1494936.017</v>
      </c>
      <c r="AZ13" s="39">
        <f>166439.957</f>
        <v>166439.95699999999</v>
      </c>
      <c r="BA13" s="39">
        <f t="shared" si="9"/>
        <v>1661375.9739999999</v>
      </c>
      <c r="BB13" s="31">
        <f t="shared" si="10"/>
        <v>-4481.466999999946</v>
      </c>
      <c r="BC13" s="70">
        <f>250000+209955.1</f>
        <v>459955.1</v>
      </c>
    </row>
    <row r="14" spans="1:56" ht="22.5" x14ac:dyDescent="0.2">
      <c r="A14" s="65" t="s">
        <v>51</v>
      </c>
      <c r="B14" s="26">
        <v>2114709.2999999998</v>
      </c>
      <c r="C14" s="26">
        <f>2226941.3+27749.9</f>
        <v>2254691.1999999997</v>
      </c>
      <c r="D14" s="66">
        <v>3184704.2</v>
      </c>
      <c r="E14" s="66">
        <v>2838033.7</v>
      </c>
      <c r="F14" s="66">
        <v>3529613.6</v>
      </c>
      <c r="G14" s="66">
        <v>4202013.8</v>
      </c>
      <c r="H14" s="66">
        <v>5407135.9000000004</v>
      </c>
      <c r="I14" s="66">
        <v>5407135.9000000004</v>
      </c>
      <c r="J14" s="66">
        <v>5901182.5</v>
      </c>
      <c r="K14" s="66">
        <v>94323.9</v>
      </c>
      <c r="L14" s="26">
        <v>6195925.4000000004</v>
      </c>
      <c r="M14" s="154"/>
      <c r="N14" s="153"/>
      <c r="O14" s="25" t="s">
        <v>52</v>
      </c>
      <c r="P14" s="26">
        <f>12335.5+1741.1</f>
        <v>14076.6</v>
      </c>
      <c r="Q14" s="30">
        <f>74890.43514-Q15+65632.9</f>
        <v>125267.10170999999</v>
      </c>
      <c r="R14" s="26">
        <v>247292.99</v>
      </c>
      <c r="S14" s="26">
        <f>AA14+AB14+AC14+AD14-S15</f>
        <v>238225.04900000003</v>
      </c>
      <c r="T14" s="26">
        <f>AE14+AF14+AG14+AH14+AP14-T15</f>
        <v>223962.07000000004</v>
      </c>
      <c r="U14" s="33">
        <v>263273.96999999997</v>
      </c>
      <c r="V14" s="26">
        <v>249681.9</v>
      </c>
      <c r="W14" s="26">
        <v>534089.02099999995</v>
      </c>
      <c r="X14" s="26">
        <v>195232.6</v>
      </c>
      <c r="Y14" s="70">
        <v>11750</v>
      </c>
      <c r="Z14" s="26">
        <v>232286.26</v>
      </c>
      <c r="AA14" s="36"/>
      <c r="AB14" s="57">
        <v>100856.894</v>
      </c>
      <c r="AC14" s="57">
        <v>17244.531999999999</v>
      </c>
      <c r="AD14" s="57">
        <f>6976.504+31603.425+106745.398</f>
        <v>145325.32699999999</v>
      </c>
      <c r="AE14" s="58">
        <f>129788.84</f>
        <v>129788.84</v>
      </c>
      <c r="AF14" s="58"/>
      <c r="AG14" s="58">
        <f>114210.69</f>
        <v>114210.69</v>
      </c>
      <c r="AH14" s="59">
        <v>4065.16</v>
      </c>
      <c r="AI14" s="60">
        <v>4065.16</v>
      </c>
      <c r="AJ14" s="60"/>
      <c r="AK14" s="60"/>
      <c r="AL14" s="60"/>
      <c r="AM14" s="60"/>
      <c r="AN14" s="60"/>
      <c r="AO14" s="60">
        <f t="shared" si="8"/>
        <v>0</v>
      </c>
      <c r="AP14" s="58">
        <v>15133.15</v>
      </c>
      <c r="AU14" s="61">
        <v>7005.433</v>
      </c>
      <c r="AV14" s="64"/>
      <c r="AW14" s="61"/>
      <c r="AY14" s="39">
        <v>222192.65400000001</v>
      </c>
      <c r="AZ14" s="39">
        <v>7005.433</v>
      </c>
      <c r="BA14" s="39">
        <f t="shared" si="9"/>
        <v>229198.087</v>
      </c>
      <c r="BB14" s="31">
        <f t="shared" si="10"/>
        <v>34075.882999999973</v>
      </c>
      <c r="BC14" s="70">
        <f>70000+95000+30232.6</f>
        <v>195232.6</v>
      </c>
    </row>
    <row r="15" spans="1:56" ht="22.5" x14ac:dyDescent="0.2">
      <c r="A15" s="65" t="s">
        <v>53</v>
      </c>
      <c r="B15" s="26">
        <v>292244.90000000002</v>
      </c>
      <c r="C15" s="26"/>
      <c r="D15" s="66"/>
      <c r="E15" s="66"/>
      <c r="F15" s="66"/>
      <c r="G15" s="66"/>
      <c r="H15" s="66"/>
      <c r="I15" s="66"/>
      <c r="J15" s="66"/>
      <c r="K15" s="66"/>
      <c r="L15" s="26"/>
      <c r="M15" s="154"/>
      <c r="N15" s="153"/>
      <c r="O15" s="25" t="s">
        <v>54</v>
      </c>
      <c r="P15" s="26">
        <v>7783.3</v>
      </c>
      <c r="Q15" s="30">
        <f>15256.23343</f>
        <v>15256.23343</v>
      </c>
      <c r="R15" s="26">
        <v>24713.45</v>
      </c>
      <c r="S15" s="26">
        <f>5624.361+14147.977+5429.366</f>
        <v>25201.703999999998</v>
      </c>
      <c r="T15" s="26">
        <v>39235.769999999997</v>
      </c>
      <c r="U15" s="33">
        <v>37912.512000000002</v>
      </c>
      <c r="V15" s="26">
        <v>11399.07</v>
      </c>
      <c r="W15" s="26">
        <v>30355.008000000002</v>
      </c>
      <c r="X15" s="26">
        <v>16289.779999999999</v>
      </c>
      <c r="Y15" s="70">
        <v>2398.6999999999998</v>
      </c>
      <c r="Z15" s="26">
        <v>20059.994999999999</v>
      </c>
      <c r="AA15" s="36"/>
      <c r="AB15" s="57"/>
      <c r="AC15" s="57"/>
      <c r="AD15" s="57"/>
      <c r="AE15" s="58"/>
      <c r="AF15" s="58"/>
      <c r="AG15" s="58"/>
      <c r="AH15" s="59"/>
      <c r="AI15" s="60"/>
      <c r="AJ15" s="60"/>
      <c r="AK15" s="60"/>
      <c r="AL15" s="60"/>
      <c r="AM15" s="60"/>
      <c r="AN15" s="60"/>
      <c r="AO15" s="60">
        <f t="shared" si="8"/>
        <v>0</v>
      </c>
      <c r="AP15" s="58"/>
      <c r="AU15" s="61">
        <v>0</v>
      </c>
      <c r="AV15" s="64"/>
      <c r="AW15" s="61"/>
      <c r="AY15" s="39">
        <v>34886.567000000003</v>
      </c>
      <c r="AZ15" s="39"/>
      <c r="BA15" s="39">
        <f t="shared" si="9"/>
        <v>34886.567000000003</v>
      </c>
      <c r="BB15" s="31">
        <f t="shared" si="10"/>
        <v>3025.9449999999997</v>
      </c>
      <c r="BC15" s="70">
        <f>10000+6289.78</f>
        <v>16289.779999999999</v>
      </c>
    </row>
    <row r="16" spans="1:56" ht="22.5" x14ac:dyDescent="0.2">
      <c r="A16" s="65" t="s">
        <v>55</v>
      </c>
      <c r="B16" s="26">
        <v>3192620.8</v>
      </c>
      <c r="C16" s="26">
        <f>3094638.1+110780.9</f>
        <v>3205419</v>
      </c>
      <c r="D16" s="66">
        <v>4121560.5</v>
      </c>
      <c r="E16" s="66">
        <v>4334525.7</v>
      </c>
      <c r="F16" s="66">
        <v>4269656.9000000004</v>
      </c>
      <c r="G16" s="66">
        <v>1126026.098</v>
      </c>
      <c r="H16" s="66">
        <v>0</v>
      </c>
      <c r="I16" s="66">
        <v>0</v>
      </c>
      <c r="J16" s="66">
        <v>0</v>
      </c>
      <c r="K16" s="66"/>
      <c r="L16" s="26"/>
      <c r="M16" s="23"/>
      <c r="N16" s="153"/>
      <c r="O16" s="25" t="s">
        <v>56</v>
      </c>
      <c r="P16" s="26">
        <f>14875.9+67595.55</f>
        <v>82471.45</v>
      </c>
      <c r="Q16" s="30">
        <f>89340.89127+92567.7</f>
        <v>181908.59126999998</v>
      </c>
      <c r="R16" s="26">
        <v>245836.66</v>
      </c>
      <c r="S16" s="26">
        <f t="shared" si="6"/>
        <v>291079.00099999999</v>
      </c>
      <c r="T16" s="26">
        <f t="shared" si="7"/>
        <v>445495.18</v>
      </c>
      <c r="U16" s="33">
        <v>606798.34400000004</v>
      </c>
      <c r="V16" s="26">
        <v>295442.48</v>
      </c>
      <c r="W16" s="26">
        <v>506126.72899999999</v>
      </c>
      <c r="X16" s="26">
        <v>183000</v>
      </c>
      <c r="Y16" s="70">
        <v>24687</v>
      </c>
      <c r="Z16" s="26">
        <v>131903.182</v>
      </c>
      <c r="AA16" s="36"/>
      <c r="AB16" s="57">
        <f>224589.576+7378.177+35871.936</f>
        <v>267839.68900000001</v>
      </c>
      <c r="AC16" s="57">
        <v>18168.312000000002</v>
      </c>
      <c r="AD16" s="57">
        <v>5071</v>
      </c>
      <c r="AE16" s="58"/>
      <c r="AF16" s="58"/>
      <c r="AG16" s="58">
        <v>58002.64</v>
      </c>
      <c r="AH16" s="59">
        <f>332376.94+9.2+3827.6-0.01</f>
        <v>336213.73</v>
      </c>
      <c r="AI16" s="60">
        <v>332376.94</v>
      </c>
      <c r="AJ16" s="60">
        <v>9.19</v>
      </c>
      <c r="AK16" s="60"/>
      <c r="AL16" s="60"/>
      <c r="AM16" s="60">
        <f>171.9+150+334.85+1639.59+1124.76+200+60.1+146.4</f>
        <v>3827.6000000000004</v>
      </c>
      <c r="AN16" s="60"/>
      <c r="AO16" s="60">
        <f t="shared" si="8"/>
        <v>-2.1373125491663814E-11</v>
      </c>
      <c r="AP16" s="58">
        <v>51278.81</v>
      </c>
      <c r="AU16" s="61">
        <v>414917.86900000001</v>
      </c>
      <c r="AV16" s="64"/>
      <c r="AW16" s="61">
        <v>0</v>
      </c>
      <c r="AY16" s="39">
        <v>153438.26199999999</v>
      </c>
      <c r="AZ16" s="39">
        <f>2759.5+412158.368</f>
        <v>414917.86800000002</v>
      </c>
      <c r="BA16" s="39">
        <f t="shared" si="9"/>
        <v>568356.13</v>
      </c>
      <c r="BB16" s="31">
        <f t="shared" si="10"/>
        <v>38442.214000000036</v>
      </c>
      <c r="BC16" s="70">
        <f>90000+91000+2000</f>
        <v>183000</v>
      </c>
    </row>
    <row r="17" spans="1:55" ht="22.5" x14ac:dyDescent="0.2">
      <c r="A17" s="65" t="s">
        <v>57</v>
      </c>
      <c r="B17" s="26">
        <v>29200</v>
      </c>
      <c r="C17" s="26"/>
      <c r="D17" s="66"/>
      <c r="E17" s="66"/>
      <c r="F17" s="66"/>
      <c r="G17" s="67"/>
      <c r="H17" s="66"/>
      <c r="I17" s="66"/>
      <c r="J17" s="66"/>
      <c r="K17" s="66"/>
      <c r="L17" s="26"/>
      <c r="M17" s="154"/>
      <c r="N17" s="153"/>
      <c r="O17" s="25" t="s">
        <v>58</v>
      </c>
      <c r="P17" s="26">
        <f>24905.1+130.62</f>
        <v>25035.719999999998</v>
      </c>
      <c r="Q17" s="30">
        <f>44193.3365+77905.3</f>
        <v>122098.63649999999</v>
      </c>
      <c r="R17" s="26">
        <v>144101.03</v>
      </c>
      <c r="S17" s="26">
        <f t="shared" si="6"/>
        <v>173542.47000000003</v>
      </c>
      <c r="T17" s="26">
        <f t="shared" si="7"/>
        <v>230213.27999999997</v>
      </c>
      <c r="U17" s="33">
        <v>197965.48</v>
      </c>
      <c r="V17" s="26">
        <v>70527.483999999997</v>
      </c>
      <c r="W17" s="26">
        <v>216519.033</v>
      </c>
      <c r="X17" s="26">
        <v>122500</v>
      </c>
      <c r="Y17" s="70">
        <v>5000</v>
      </c>
      <c r="Z17" s="26">
        <v>179658.992</v>
      </c>
      <c r="AA17" s="36"/>
      <c r="AB17" s="57">
        <f>48013.123+73447.653</f>
        <v>121460.77600000001</v>
      </c>
      <c r="AC17" s="68">
        <v>36217.785000000003</v>
      </c>
      <c r="AD17" s="57">
        <v>15863.909</v>
      </c>
      <c r="AE17" s="58"/>
      <c r="AF17" s="58"/>
      <c r="AG17" s="58">
        <v>51670.02</v>
      </c>
      <c r="AH17" s="59">
        <f>47278.79+99933.9+224.8+0.02</f>
        <v>147437.50999999998</v>
      </c>
      <c r="AI17" s="60">
        <v>47278.79</v>
      </c>
      <c r="AJ17" s="60"/>
      <c r="AK17" s="60">
        <v>99933.9</v>
      </c>
      <c r="AL17" s="60">
        <v>224.82</v>
      </c>
      <c r="AM17" s="60"/>
      <c r="AN17" s="60"/>
      <c r="AO17" s="60">
        <f t="shared" si="8"/>
        <v>-2.2112089936854318E-11</v>
      </c>
      <c r="AP17" s="58">
        <v>31105.75</v>
      </c>
      <c r="AU17" s="61">
        <v>10410.831</v>
      </c>
      <c r="AV17" s="64"/>
      <c r="AW17" s="61"/>
      <c r="AY17" s="39">
        <v>133549.41699999999</v>
      </c>
      <c r="AZ17" s="39">
        <f>8386.392+59.88</f>
        <v>8446.271999999999</v>
      </c>
      <c r="BA17" s="39">
        <f t="shared" si="9"/>
        <v>141995.68899999998</v>
      </c>
      <c r="BB17" s="31">
        <f t="shared" si="10"/>
        <v>55969.791000000027</v>
      </c>
      <c r="BC17" s="70">
        <f>50000+66500+6000</f>
        <v>122500</v>
      </c>
    </row>
    <row r="18" spans="1:55" ht="22.5" x14ac:dyDescent="0.2">
      <c r="A18" s="65" t="s">
        <v>59</v>
      </c>
      <c r="B18" s="26">
        <v>3146067</v>
      </c>
      <c r="C18" s="26">
        <f>2089134.4+1465368.1+204.5+8421.1+66510.7</f>
        <v>3629638.8000000003</v>
      </c>
      <c r="D18" s="66">
        <v>5450415.3899999997</v>
      </c>
      <c r="E18" s="66">
        <f>2304385.663+3469662.424+243.17+12692.66</f>
        <v>5786983.9170000004</v>
      </c>
      <c r="F18" s="66">
        <v>3755866.42</v>
      </c>
      <c r="G18" s="67"/>
      <c r="H18" s="66"/>
      <c r="I18" s="66"/>
      <c r="J18" s="66"/>
      <c r="K18" s="66"/>
      <c r="L18" s="26"/>
      <c r="M18" s="154"/>
      <c r="N18" s="153"/>
      <c r="O18" s="25" t="s">
        <v>60</v>
      </c>
      <c r="P18" s="26">
        <f>328743.3+468342.3+525559.62</f>
        <v>1322645.22</v>
      </c>
      <c r="Q18" s="30">
        <f>409062.64932+1379329.84</f>
        <v>1788392.4893200002</v>
      </c>
      <c r="R18" s="26">
        <f>969134.63+1722422.35</f>
        <v>2691556.98</v>
      </c>
      <c r="S18" s="26">
        <f t="shared" si="6"/>
        <v>3104123.8659999999</v>
      </c>
      <c r="T18" s="26">
        <f t="shared" si="7"/>
        <v>4415393.5699999994</v>
      </c>
      <c r="U18" s="33">
        <v>5205313.5060000001</v>
      </c>
      <c r="V18" s="26">
        <v>2401018.5430000001</v>
      </c>
      <c r="W18" s="26">
        <v>4438674.0049999999</v>
      </c>
      <c r="X18" s="26">
        <v>2712247.24</v>
      </c>
      <c r="Y18" s="70">
        <v>760148.89199999988</v>
      </c>
      <c r="Z18" s="26">
        <v>3473866.6889999998</v>
      </c>
      <c r="AA18" s="36"/>
      <c r="AB18" s="57">
        <f>2952913.933+3200+(20593.326+35.429)</f>
        <v>2976742.6880000001</v>
      </c>
      <c r="AC18" s="57">
        <v>115485.905</v>
      </c>
      <c r="AD18" s="57">
        <f>120.836+8915.484+822.548+885.008+500+26.662+475.828+148.907</f>
        <v>11895.272999999999</v>
      </c>
      <c r="AE18" s="58">
        <v>13523.55</v>
      </c>
      <c r="AF18" s="58">
        <v>5003</v>
      </c>
      <c r="AG18" s="58">
        <v>2711454.6</v>
      </c>
      <c r="AH18" s="59">
        <f>1492999.74+28196.7+30643.9+71.91+0.05</f>
        <v>1551912.2999999998</v>
      </c>
      <c r="AI18" s="60">
        <v>1492999.74</v>
      </c>
      <c r="AJ18" s="60">
        <v>28196.7</v>
      </c>
      <c r="AK18" s="60">
        <v>30643.95</v>
      </c>
      <c r="AL18" s="60"/>
      <c r="AM18" s="60"/>
      <c r="AN18" s="60">
        <v>71.91</v>
      </c>
      <c r="AO18" s="60">
        <f t="shared" si="8"/>
        <v>-1.7840307009464595E-10</v>
      </c>
      <c r="AP18" s="58">
        <v>133500.12</v>
      </c>
      <c r="AU18" s="61">
        <v>1511559.1340000001</v>
      </c>
      <c r="AV18" s="64"/>
      <c r="AW18" s="61">
        <v>56014.411</v>
      </c>
      <c r="AY18" s="39">
        <v>2732359.6710000001</v>
      </c>
      <c r="AZ18" s="39">
        <f>22622.469+1326913.742+140654.631</f>
        <v>1490190.8420000002</v>
      </c>
      <c r="BA18" s="39">
        <f t="shared" si="9"/>
        <v>4222550.5130000003</v>
      </c>
      <c r="BB18" s="31">
        <f t="shared" si="10"/>
        <v>982762.99299999978</v>
      </c>
      <c r="BC18" s="70">
        <f>1360000+328153.04+1007106.5+16987.7</f>
        <v>2712247.24</v>
      </c>
    </row>
    <row r="19" spans="1:55" ht="22.5" x14ac:dyDescent="0.2">
      <c r="A19" s="65" t="s">
        <v>61</v>
      </c>
      <c r="B19" s="26">
        <v>23044.5</v>
      </c>
      <c r="C19" s="26"/>
      <c r="D19" s="66">
        <v>9304.0300000000007</v>
      </c>
      <c r="E19" s="66">
        <f>6976.504+8915.484+106745.398+31603.425</f>
        <v>154240.81099999999</v>
      </c>
      <c r="F19" s="66">
        <v>126504.2</v>
      </c>
      <c r="G19" s="66">
        <v>134016.53099999999</v>
      </c>
      <c r="H19" s="66">
        <v>15806.9</v>
      </c>
      <c r="I19" s="66">
        <v>182315.35599999997</v>
      </c>
      <c r="J19" s="66">
        <v>16987.7</v>
      </c>
      <c r="K19" s="66">
        <v>1691.5</v>
      </c>
      <c r="L19" s="26">
        <v>18679.2</v>
      </c>
      <c r="M19" s="154"/>
      <c r="N19" s="153"/>
      <c r="O19" s="65" t="s">
        <v>62</v>
      </c>
      <c r="P19" s="26">
        <f>367626.4+586591.86</f>
        <v>954218.26</v>
      </c>
      <c r="Q19" s="30">
        <f>858734.728+1436527.6+42438.7</f>
        <v>2337701.0280000004</v>
      </c>
      <c r="R19" s="26">
        <v>5921406.2599999998</v>
      </c>
      <c r="S19" s="26">
        <f t="shared" si="6"/>
        <v>6076842.631000001</v>
      </c>
      <c r="T19" s="26">
        <f t="shared" si="7"/>
        <v>6145581.8399999999</v>
      </c>
      <c r="U19" s="33">
        <v>2868692.8449999997</v>
      </c>
      <c r="V19" s="26">
        <v>4318580.8779999996</v>
      </c>
      <c r="W19" s="26">
        <v>10814850.359999999</v>
      </c>
      <c r="X19" s="26">
        <v>6153641.9179999996</v>
      </c>
      <c r="Y19" s="70">
        <v>315000</v>
      </c>
      <c r="Z19" s="26">
        <v>5798484.6600000001</v>
      </c>
      <c r="AA19" s="36"/>
      <c r="AB19" s="57">
        <f>5763292.496+7675.962+34.974</f>
        <v>5771003.432000001</v>
      </c>
      <c r="AC19" s="69">
        <v>305149.70400000003</v>
      </c>
      <c r="AD19" s="57">
        <v>689.495</v>
      </c>
      <c r="AE19" s="58"/>
      <c r="AF19" s="58">
        <v>192614.6</v>
      </c>
      <c r="AG19" s="58">
        <f>5171293.23+672200.38</f>
        <v>5843493.6100000003</v>
      </c>
      <c r="AH19" s="59">
        <f>84656.5+0.05</f>
        <v>84656.55</v>
      </c>
      <c r="AI19" s="60"/>
      <c r="AJ19" s="60"/>
      <c r="AK19" s="60">
        <v>84656.55</v>
      </c>
      <c r="AL19" s="60"/>
      <c r="AM19" s="60"/>
      <c r="AN19" s="60"/>
      <c r="AO19" s="60">
        <f t="shared" si="8"/>
        <v>0</v>
      </c>
      <c r="AP19" s="58">
        <v>24817.08</v>
      </c>
      <c r="AU19" s="61">
        <f>30458.147</f>
        <v>30458.147000000001</v>
      </c>
      <c r="AV19" s="64">
        <v>575.13499999999999</v>
      </c>
      <c r="AW19" s="61">
        <v>11474.4</v>
      </c>
      <c r="AY19" s="39">
        <v>4353465.301</v>
      </c>
      <c r="AZ19" s="39"/>
      <c r="BA19" s="39">
        <f t="shared" si="9"/>
        <v>4353465.301</v>
      </c>
      <c r="BB19" s="31">
        <f t="shared" si="10"/>
        <v>-1484772.4560000002</v>
      </c>
      <c r="BC19" s="70">
        <f>3166368.958+2557992.8+129080.16+300200</f>
        <v>6153641.9179999996</v>
      </c>
    </row>
    <row r="20" spans="1:55" ht="45" x14ac:dyDescent="0.2">
      <c r="A20" s="25" t="s">
        <v>63</v>
      </c>
      <c r="B20" s="26"/>
      <c r="C20" s="26">
        <v>248063.6</v>
      </c>
      <c r="D20" s="26"/>
      <c r="E20" s="26"/>
      <c r="F20" s="26"/>
      <c r="G20" s="70"/>
      <c r="H20" s="26"/>
      <c r="I20" s="26"/>
      <c r="J20" s="26"/>
      <c r="K20" s="26"/>
      <c r="L20" s="26"/>
      <c r="M20" s="154"/>
      <c r="N20" s="153"/>
      <c r="O20" s="65" t="s">
        <v>64</v>
      </c>
      <c r="P20" s="26">
        <f>2371.8+58470.1+26408.93+18601.31</f>
        <v>105852.14</v>
      </c>
      <c r="Q20" s="26">
        <f>101442.712+588542.2-481.89</f>
        <v>689503.022</v>
      </c>
      <c r="R20" s="26">
        <f>148246.15+119182.71</f>
        <v>267428.86</v>
      </c>
      <c r="S20" s="26">
        <f>AA20+AB20+AC20+AD20+2970.73</f>
        <v>833561.80200000003</v>
      </c>
      <c r="T20" s="26">
        <f>AE20+AF20+AG20+AH20+AP20-3637.15</f>
        <v>482261.72</v>
      </c>
      <c r="U20" s="33">
        <v>328737.34999999998</v>
      </c>
      <c r="V20" s="26">
        <v>186933</v>
      </c>
      <c r="W20" s="26">
        <v>378593.32199999999</v>
      </c>
      <c r="X20" s="26">
        <v>2241396.4750000001</v>
      </c>
      <c r="Y20" s="26">
        <v>-1798690.8969999999</v>
      </c>
      <c r="Z20" s="26">
        <v>342327.78000000014</v>
      </c>
      <c r="AA20" s="36"/>
      <c r="AB20" s="57">
        <f>1208961.546-334931.375-(89765.402-1735.767)+0.007</f>
        <v>786000.54300000006</v>
      </c>
      <c r="AC20" s="57">
        <f>23315.576-(689.789-589.511)+0.001</f>
        <v>23215.299000000003</v>
      </c>
      <c r="AD20" s="57">
        <f>57.999+1964.681+5000+243.217+4019.909+30358.413+4949.045+789.725+817.991+189.495+9492.042+17158+949.006+0.01-(75989.527-21375.224)</f>
        <v>21375.229999999981</v>
      </c>
      <c r="AE20" s="58"/>
      <c r="AF20" s="70">
        <v>67215.520000000004</v>
      </c>
      <c r="AG20" s="58">
        <f>327720.29+1076.29</f>
        <v>328796.57999999996</v>
      </c>
      <c r="AH20" s="59">
        <f>37823.58+1010.4+4439.67+15196.37</f>
        <v>58470.020000000004</v>
      </c>
      <c r="AI20" s="60">
        <v>37823.58</v>
      </c>
      <c r="AJ20" s="60"/>
      <c r="AK20" s="60"/>
      <c r="AL20" s="60"/>
      <c r="AM20" s="60">
        <v>15196.37</v>
      </c>
      <c r="AN20" s="60">
        <f>1010.4+4439.67</f>
        <v>5450.07</v>
      </c>
      <c r="AO20" s="60">
        <f t="shared" si="8"/>
        <v>0</v>
      </c>
      <c r="AP20" s="58">
        <f>1823.9+29592.84+0.01</f>
        <v>31416.75</v>
      </c>
      <c r="AU20" s="61">
        <f>24565.463+47570.608-4.74</f>
        <v>72131.330999999991</v>
      </c>
      <c r="AV20" s="61">
        <f>52432.154-2027.479</f>
        <v>50404.675000000003</v>
      </c>
      <c r="AW20" s="61">
        <v>4455.9840000000004</v>
      </c>
      <c r="AY20" s="39">
        <v>175560.47399999999</v>
      </c>
      <c r="AZ20" s="39">
        <f>69.8+13849.614+52304.501+24565.462+93954.015</f>
        <v>184743.39199999999</v>
      </c>
      <c r="BA20" s="39">
        <f t="shared" si="9"/>
        <v>360303.86599999998</v>
      </c>
      <c r="BB20" s="31">
        <f t="shared" si="10"/>
        <v>-31566.516000000003</v>
      </c>
      <c r="BC20" s="26">
        <f>66971.635+41000+25000+38735.19+14096.855+2055592.795</f>
        <v>2241396.4750000001</v>
      </c>
    </row>
    <row r="21" spans="1:55" ht="22.5" x14ac:dyDescent="0.2">
      <c r="A21" s="25" t="s">
        <v>65</v>
      </c>
      <c r="B21" s="26"/>
      <c r="C21" s="26">
        <v>2813.4</v>
      </c>
      <c r="D21" s="26">
        <v>5810.8</v>
      </c>
      <c r="E21" s="26">
        <v>100212.3</v>
      </c>
      <c r="F21" s="26">
        <v>53808.800000000003</v>
      </c>
      <c r="G21" s="26">
        <v>52714.3</v>
      </c>
      <c r="H21" s="26">
        <v>52543</v>
      </c>
      <c r="I21" s="26">
        <v>52543</v>
      </c>
      <c r="J21" s="26">
        <v>81037.2</v>
      </c>
      <c r="K21" s="26"/>
      <c r="L21" s="26">
        <v>81037.2</v>
      </c>
      <c r="M21" s="154"/>
      <c r="N21" s="153"/>
      <c r="O21" s="71" t="s">
        <v>66</v>
      </c>
      <c r="P21" s="72">
        <f t="shared" ref="P21:T21" si="11">P4-P8</f>
        <v>-2612145.2000000002</v>
      </c>
      <c r="Q21" s="72">
        <f t="shared" si="11"/>
        <v>-6670255.1065000007</v>
      </c>
      <c r="R21" s="72">
        <f t="shared" si="11"/>
        <v>-12189622.760000002</v>
      </c>
      <c r="S21" s="72">
        <f t="shared" si="11"/>
        <v>-15247727.98</v>
      </c>
      <c r="T21" s="72">
        <f t="shared" si="11"/>
        <v>-15796974.309999999</v>
      </c>
      <c r="U21" s="72">
        <v>-13540666.388999999</v>
      </c>
      <c r="V21" s="72">
        <v>-8337385.625</v>
      </c>
      <c r="W21" s="72">
        <v>-21655678.329</v>
      </c>
      <c r="X21" s="72">
        <v>-12078025.763</v>
      </c>
      <c r="Y21" s="72"/>
      <c r="Z21" s="72">
        <v>-11520742.852</v>
      </c>
      <c r="AA21" s="1"/>
      <c r="AB21" s="57">
        <v>2000000</v>
      </c>
      <c r="AC21" s="45">
        <v>913.6</v>
      </c>
      <c r="AD21" s="36"/>
      <c r="AE21" s="51">
        <f>592843.9-AF21</f>
        <v>315530.08</v>
      </c>
      <c r="AF21" s="51">
        <v>277313.82</v>
      </c>
      <c r="AG21" s="51">
        <f>15159228.03-303566.87</f>
        <v>14855661.16</v>
      </c>
      <c r="AH21" s="52">
        <v>3446357.11</v>
      </c>
      <c r="AI21" s="60"/>
      <c r="AJ21" s="60"/>
      <c r="AK21" s="60"/>
      <c r="AL21" s="60"/>
      <c r="AM21" s="53">
        <v>19023.97</v>
      </c>
      <c r="AN21" s="60"/>
      <c r="AO21" s="60"/>
      <c r="AP21" s="51">
        <v>455098.07</v>
      </c>
      <c r="AU21" s="55">
        <f>3207353.341-52432.154-130584.487</f>
        <v>3024336.6999999997</v>
      </c>
      <c r="AV21" s="55">
        <v>52432.154000000002</v>
      </c>
      <c r="AW21" s="55">
        <v>130584.48699999999</v>
      </c>
      <c r="AX21" s="56">
        <v>3207353.341</v>
      </c>
      <c r="AY21" s="31"/>
      <c r="AZ21" s="31">
        <f>AZ11+AZ12+AZ13+AZ14+AZ15+AZ16+AZ17+AZ18+AZ19+AZ20-AZ10</f>
        <v>-5.9999995864927769E-3</v>
      </c>
      <c r="BA21" s="31">
        <f>BA11+BA12+BA13+BA14+BA15+BA16+BA17+BA18+BA19+BA20</f>
        <v>14082740.966000002</v>
      </c>
      <c r="BB21" s="31">
        <f>BB11+BB12+BB13+BB14+BB15+BB16+BB17+BB18+BB19+BB20</f>
        <v>-3619.835000000603</v>
      </c>
    </row>
    <row r="22" spans="1:55" ht="22.5" x14ac:dyDescent="0.2">
      <c r="A22" s="73" t="s">
        <v>67</v>
      </c>
      <c r="B22" s="74">
        <f>B23+B24+B26+B28+B30+B32+B34+B36+B38+B42+B44+B45+B47+B41+B43</f>
        <v>19400192.399999995</v>
      </c>
      <c r="C22" s="74">
        <f>C23+C24+C26+C28+C30+C32+C34+C36+C38+C42+C44+C45+C47+C41+C43</f>
        <v>22655318.600000001</v>
      </c>
      <c r="D22" s="74">
        <f>D23+D24+D26+D28+D30+D32+D34+D36+D38+D42+D44+D45+D47+D41+D43+D49</f>
        <v>31847965.609000001</v>
      </c>
      <c r="E22" s="74">
        <f>E23+E24+E26+E28+E30+E32+E34+E36+E38+E42+E44+E45+E47+E41+E43+E49</f>
        <v>35871108.080999993</v>
      </c>
      <c r="F22" s="74">
        <f>F23+F24+F26+F28+F30+F32+F34+F36+F38+F42+F44+F45+F47+F41+F43</f>
        <v>40114582.109999992</v>
      </c>
      <c r="G22" s="74">
        <v>39380465.001000002</v>
      </c>
      <c r="H22" s="74">
        <v>43994554.245999992</v>
      </c>
      <c r="I22" s="74">
        <v>47213486.805</v>
      </c>
      <c r="J22" s="74">
        <v>46987879.737999998</v>
      </c>
      <c r="K22" s="74">
        <v>556503.22300000011</v>
      </c>
      <c r="L22" s="74">
        <v>48962968.571999997</v>
      </c>
      <c r="M22" s="154"/>
      <c r="N22" s="153"/>
      <c r="O22" s="71" t="s">
        <v>68</v>
      </c>
      <c r="P22" s="72">
        <f t="shared" ref="P22:T22" si="12">P23+P24+P25</f>
        <v>2612145.2000000002</v>
      </c>
      <c r="Q22" s="72">
        <f t="shared" si="12"/>
        <v>6670255.1100000003</v>
      </c>
      <c r="R22" s="72">
        <f t="shared" si="12"/>
        <v>12189622.76</v>
      </c>
      <c r="S22" s="72">
        <f t="shared" si="12"/>
        <v>15247727.981000001</v>
      </c>
      <c r="T22" s="72">
        <f t="shared" si="12"/>
        <v>15796974.310000001</v>
      </c>
      <c r="U22" s="72">
        <v>13540666.388999999</v>
      </c>
      <c r="V22" s="72">
        <v>8337385.625</v>
      </c>
      <c r="W22" s="72">
        <v>21655678.329</v>
      </c>
      <c r="X22" s="72">
        <v>12078025.763</v>
      </c>
      <c r="Y22" s="72"/>
      <c r="Z22" s="72">
        <v>11520742.852</v>
      </c>
      <c r="AA22" s="1"/>
      <c r="AB22" s="1"/>
      <c r="AC22" s="1"/>
      <c r="AD22" s="1"/>
      <c r="AE22" s="36">
        <f>AE10-AE21</f>
        <v>0</v>
      </c>
      <c r="AF22" s="36">
        <f t="shared" ref="AF22:AH22" si="13">AF10-AF21</f>
        <v>0</v>
      </c>
      <c r="AG22" s="36">
        <f t="shared" si="13"/>
        <v>-3446357.1099999994</v>
      </c>
      <c r="AH22" s="36">
        <f t="shared" si="13"/>
        <v>0</v>
      </c>
      <c r="AI22" s="54"/>
      <c r="AJ22" s="54"/>
      <c r="AK22" s="54"/>
      <c r="AL22" s="54"/>
      <c r="AM22" s="53">
        <f>AM21-AM10</f>
        <v>0</v>
      </c>
      <c r="AN22" s="54"/>
      <c r="AO22" s="54"/>
      <c r="AP22" s="36"/>
      <c r="AU22" s="61">
        <f>AU10-AU21</f>
        <v>-3.0000000260770321E-3</v>
      </c>
      <c r="AV22" s="61">
        <f t="shared" ref="AV22:AW22" si="14">AV10-AV21</f>
        <v>0</v>
      </c>
      <c r="AW22" s="61">
        <f t="shared" si="14"/>
        <v>9.9999998928979039E-4</v>
      </c>
      <c r="AX22" s="48">
        <f>AX10-AX21</f>
        <v>-2.0000003278255463E-3</v>
      </c>
      <c r="AY22" s="55"/>
      <c r="AZ22" s="55"/>
      <c r="BA22" s="55"/>
    </row>
    <row r="23" spans="1:55" ht="22.5" x14ac:dyDescent="0.2">
      <c r="A23" s="25" t="s">
        <v>69</v>
      </c>
      <c r="B23" s="26">
        <v>649183</v>
      </c>
      <c r="C23" s="26">
        <v>939386.4</v>
      </c>
      <c r="D23" s="26">
        <v>1220474.102</v>
      </c>
      <c r="E23" s="26">
        <f>1560969.293-145415.472</f>
        <v>1415553.821</v>
      </c>
      <c r="F23" s="26">
        <f>2081826.88-193970.47</f>
        <v>1887856.41</v>
      </c>
      <c r="G23" s="26">
        <v>2135454.6260000002</v>
      </c>
      <c r="H23" s="26">
        <v>2260413.4369999999</v>
      </c>
      <c r="I23" s="26">
        <v>2356038.7220000001</v>
      </c>
      <c r="J23" s="26">
        <v>2650380.65</v>
      </c>
      <c r="K23" s="70">
        <v>26961.3</v>
      </c>
      <c r="L23" s="26">
        <v>2382628.3659999999</v>
      </c>
      <c r="M23" s="154"/>
      <c r="N23" s="153"/>
      <c r="O23" s="25" t="s">
        <v>70</v>
      </c>
      <c r="P23" s="30">
        <v>51610</v>
      </c>
      <c r="Q23" s="30">
        <v>-83759.679999999993</v>
      </c>
      <c r="R23" s="30">
        <v>-209538.27</v>
      </c>
      <c r="S23" s="30">
        <f>149886.341</f>
        <v>149886.34099999999</v>
      </c>
      <c r="T23" s="30">
        <v>103381.66</v>
      </c>
      <c r="U23" s="30">
        <v>-55236.38</v>
      </c>
      <c r="V23" s="30">
        <v>0</v>
      </c>
      <c r="W23" s="30">
        <v>88175.21</v>
      </c>
      <c r="X23" s="30"/>
      <c r="Y23" s="30"/>
      <c r="Z23" s="30">
        <v>0</v>
      </c>
      <c r="AA23" s="75" t="s">
        <v>71</v>
      </c>
      <c r="AB23" s="1"/>
      <c r="AC23" s="1"/>
      <c r="AD23" s="1"/>
      <c r="AE23" s="1"/>
      <c r="AY23" s="55"/>
      <c r="AZ23" s="55"/>
      <c r="BA23" s="55"/>
    </row>
    <row r="24" spans="1:55" ht="44.45" customHeight="1" x14ac:dyDescent="0.25">
      <c r="A24" s="25" t="s">
        <v>72</v>
      </c>
      <c r="B24" s="26">
        <v>5592842.5</v>
      </c>
      <c r="C24" s="26">
        <v>6589815.0999999996</v>
      </c>
      <c r="D24" s="26">
        <v>9637512.2559999991</v>
      </c>
      <c r="E24" s="26">
        <v>12307155.793</v>
      </c>
      <c r="F24" s="26">
        <v>15047453.93</v>
      </c>
      <c r="G24" s="26">
        <v>16774938.414000001</v>
      </c>
      <c r="H24" s="26">
        <v>21906469.274999999</v>
      </c>
      <c r="I24" s="26">
        <v>22777208.041999999</v>
      </c>
      <c r="J24" s="26">
        <v>23613260.442000002</v>
      </c>
      <c r="K24" s="26">
        <v>780579.89999999991</v>
      </c>
      <c r="L24" s="26">
        <v>24693399.666000001</v>
      </c>
      <c r="M24" s="154"/>
      <c r="N24" s="153"/>
      <c r="O24" s="76" t="s">
        <v>73</v>
      </c>
      <c r="P24" s="30">
        <f t="shared" ref="P24:T24" si="15">-(B55)</f>
        <v>4861872.2</v>
      </c>
      <c r="Q24" s="30">
        <f t="shared" si="15"/>
        <v>7702677.79</v>
      </c>
      <c r="R24" s="30">
        <f t="shared" si="15"/>
        <v>12399161.029999999</v>
      </c>
      <c r="S24" s="30">
        <f t="shared" si="15"/>
        <v>15097841.640000001</v>
      </c>
      <c r="T24" s="30">
        <f t="shared" si="15"/>
        <v>15693592.65</v>
      </c>
      <c r="U24" s="30">
        <v>12825902.768999999</v>
      </c>
      <c r="V24" s="30">
        <v>11011827.225</v>
      </c>
      <c r="W24" s="30">
        <v>16534261.092</v>
      </c>
      <c r="X24" s="30">
        <v>14739568.047</v>
      </c>
      <c r="Y24" s="30"/>
      <c r="Z24" s="30">
        <v>13503923.536</v>
      </c>
      <c r="AA24" s="1"/>
      <c r="AB24" s="1"/>
      <c r="AC24" s="1"/>
      <c r="AD24" s="1"/>
      <c r="AE24" s="1"/>
    </row>
    <row r="25" spans="1:55" ht="22.9" customHeight="1" x14ac:dyDescent="0.25">
      <c r="A25" s="32" t="s">
        <v>74</v>
      </c>
      <c r="B25" s="77">
        <f>B14+B15</f>
        <v>2406954.1999999997</v>
      </c>
      <c r="C25" s="77">
        <f t="shared" ref="C25:F25" si="16">C14</f>
        <v>2254691.1999999997</v>
      </c>
      <c r="D25" s="77">
        <f t="shared" si="16"/>
        <v>3184704.2</v>
      </c>
      <c r="E25" s="77">
        <f t="shared" si="16"/>
        <v>2838033.7</v>
      </c>
      <c r="F25" s="77">
        <f t="shared" si="16"/>
        <v>3529613.6</v>
      </c>
      <c r="G25" s="77">
        <v>4202013.8</v>
      </c>
      <c r="H25" s="77">
        <v>5407135.9000000004</v>
      </c>
      <c r="I25" s="77">
        <v>5407135.9000000004</v>
      </c>
      <c r="J25" s="77">
        <v>5901182.5</v>
      </c>
      <c r="K25" s="77">
        <v>94323.9</v>
      </c>
      <c r="L25" s="26">
        <v>6195925.4000000004</v>
      </c>
      <c r="M25" s="154"/>
      <c r="N25" s="153"/>
      <c r="O25" s="76" t="s">
        <v>75</v>
      </c>
      <c r="P25" s="30">
        <v>-2301337</v>
      </c>
      <c r="Q25" s="30">
        <v>-948663</v>
      </c>
      <c r="R25" s="30"/>
      <c r="S25" s="30"/>
      <c r="T25" s="30"/>
      <c r="U25" s="30">
        <v>770000</v>
      </c>
      <c r="V25" s="30">
        <v>-2674441.6</v>
      </c>
      <c r="W25" s="30">
        <v>5033242.0269999998</v>
      </c>
      <c r="X25" s="30">
        <v>-2661542.284</v>
      </c>
      <c r="Y25" s="30">
        <v>678361.59600000002</v>
      </c>
      <c r="Z25" s="30">
        <v>-1983180.6839999999</v>
      </c>
      <c r="AA25" s="1"/>
      <c r="AB25" s="1"/>
      <c r="AC25" s="1"/>
      <c r="AD25" s="1"/>
      <c r="AE25" s="1"/>
    </row>
    <row r="26" spans="1:55" ht="24" customHeight="1" x14ac:dyDescent="0.25">
      <c r="A26" s="25" t="s">
        <v>76</v>
      </c>
      <c r="B26" s="30">
        <v>4047471.4</v>
      </c>
      <c r="C26" s="30">
        <v>5396432</v>
      </c>
      <c r="D26" s="30">
        <v>7108612.9819999998</v>
      </c>
      <c r="E26" s="30">
        <v>7452894.4330000002</v>
      </c>
      <c r="F26" s="30">
        <v>8249256.7699999996</v>
      </c>
      <c r="G26" s="30">
        <v>5863504.2690000003</v>
      </c>
      <c r="H26" s="30">
        <v>5201751.1459999997</v>
      </c>
      <c r="I26" s="30">
        <v>5091010.3859999999</v>
      </c>
      <c r="J26" s="30">
        <v>5113633.6129999999</v>
      </c>
      <c r="K26" s="30">
        <v>171551.1</v>
      </c>
      <c r="L26" s="26">
        <v>5285184.7130000005</v>
      </c>
      <c r="M26" s="154"/>
      <c r="N26" s="163" t="s">
        <v>77</v>
      </c>
      <c r="O26" s="78" t="s">
        <v>142</v>
      </c>
      <c r="P26" s="22">
        <f>SUM(P27:P29)+0.6</f>
        <v>253693.79598000002</v>
      </c>
      <c r="Q26" s="22">
        <f>SUM(Q27:Q29)+0.564</f>
        <v>284786.01199999999</v>
      </c>
      <c r="R26" s="22">
        <f>SUM(R27:R29)+0.296</f>
        <v>277258.77600000001</v>
      </c>
      <c r="S26" s="22">
        <f>SUM(S27:S29)</f>
        <v>272352.78899999999</v>
      </c>
      <c r="T26" s="22">
        <f>SUM(T27:T30)+0.48</f>
        <v>301188</v>
      </c>
      <c r="U26" s="22">
        <v>247141.05200000003</v>
      </c>
      <c r="V26" s="22">
        <v>456000</v>
      </c>
      <c r="W26" s="22">
        <v>456000</v>
      </c>
      <c r="X26" s="22">
        <v>617000</v>
      </c>
      <c r="Y26" s="22">
        <v>0</v>
      </c>
      <c r="Z26" s="22">
        <v>617000</v>
      </c>
      <c r="AA26" s="1"/>
      <c r="AB26" s="1"/>
      <c r="AC26" s="1"/>
      <c r="AD26" s="1"/>
      <c r="AE26" s="1"/>
    </row>
    <row r="27" spans="1:55" ht="24" customHeight="1" x14ac:dyDescent="0.25">
      <c r="A27" s="32" t="s">
        <v>74</v>
      </c>
      <c r="B27" s="77">
        <f t="shared" ref="B27:F27" si="17">B16</f>
        <v>3192620.8</v>
      </c>
      <c r="C27" s="77">
        <f t="shared" si="17"/>
        <v>3205419</v>
      </c>
      <c r="D27" s="77">
        <f t="shared" si="17"/>
        <v>4121560.5</v>
      </c>
      <c r="E27" s="77">
        <f t="shared" si="17"/>
        <v>4334525.7</v>
      </c>
      <c r="F27" s="77">
        <f t="shared" si="17"/>
        <v>4269656.9000000004</v>
      </c>
      <c r="G27" s="77">
        <v>1126026.098</v>
      </c>
      <c r="H27" s="77">
        <v>0</v>
      </c>
      <c r="I27" s="77">
        <v>0</v>
      </c>
      <c r="J27" s="77">
        <v>0</v>
      </c>
      <c r="K27" s="77"/>
      <c r="L27" s="26">
        <v>0</v>
      </c>
      <c r="M27" s="154"/>
      <c r="N27" s="163"/>
      <c r="O27" s="79" t="s">
        <v>143</v>
      </c>
      <c r="P27" s="26">
        <v>32411.1</v>
      </c>
      <c r="Q27" s="26">
        <f>870.153</f>
        <v>870.15300000000002</v>
      </c>
      <c r="R27" s="26">
        <v>8944.42</v>
      </c>
      <c r="S27" s="26">
        <f>24624.283</f>
        <v>24624.282999999999</v>
      </c>
      <c r="T27" s="26">
        <v>5335.62</v>
      </c>
      <c r="U27" s="26">
        <v>3067.529</v>
      </c>
      <c r="V27" s="26">
        <v>6000</v>
      </c>
      <c r="W27" s="26">
        <v>6000</v>
      </c>
      <c r="X27" s="26">
        <v>7000</v>
      </c>
      <c r="Y27" s="26"/>
      <c r="Z27" s="26">
        <v>7000</v>
      </c>
      <c r="AA27" s="36">
        <f>S27+S28+S29+S40+0.025</f>
        <v>304053.19300000003</v>
      </c>
      <c r="AB27" s="1"/>
      <c r="AC27" s="1"/>
      <c r="AD27" s="1"/>
      <c r="AE27" s="36">
        <f>T27+T28+T29+T30+T40+0.48</f>
        <v>319045.3</v>
      </c>
    </row>
    <row r="28" spans="1:55" ht="22.5" x14ac:dyDescent="0.25">
      <c r="A28" s="25" t="s">
        <v>80</v>
      </c>
      <c r="B28" s="30">
        <v>3801702.9</v>
      </c>
      <c r="C28" s="30">
        <v>4529069.8</v>
      </c>
      <c r="D28" s="30">
        <v>7576158.1050000004</v>
      </c>
      <c r="E28" s="30">
        <v>8401000.9820000008</v>
      </c>
      <c r="F28" s="30">
        <v>7720700.7400000002</v>
      </c>
      <c r="G28" s="30">
        <v>3636430.3470000001</v>
      </c>
      <c r="H28" s="30">
        <v>4768881.8360000001</v>
      </c>
      <c r="I28" s="30">
        <v>4576115.3420000002</v>
      </c>
      <c r="J28" s="30">
        <v>5068813.665</v>
      </c>
      <c r="K28" s="30">
        <v>33674.199999999997</v>
      </c>
      <c r="L28" s="26">
        <v>5155663.5939999996</v>
      </c>
      <c r="M28" s="154"/>
      <c r="N28" s="163"/>
      <c r="O28" s="80" t="s">
        <v>141</v>
      </c>
      <c r="P28" s="26">
        <v>152034.79999999999</v>
      </c>
      <c r="Q28" s="30">
        <v>196773.81099999999</v>
      </c>
      <c r="R28" s="30">
        <v>185774.01</v>
      </c>
      <c r="S28" s="30">
        <f>0.692+181874.022</f>
        <v>181874.71400000001</v>
      </c>
      <c r="T28" s="30">
        <v>208711.94</v>
      </c>
      <c r="U28" s="30">
        <v>144407.72200000001</v>
      </c>
      <c r="V28" s="30">
        <v>250000</v>
      </c>
      <c r="W28" s="30">
        <v>250000</v>
      </c>
      <c r="X28" s="30">
        <v>270000</v>
      </c>
      <c r="Y28" s="30"/>
      <c r="Z28" s="30">
        <v>270000</v>
      </c>
      <c r="AA28" s="1"/>
      <c r="AB28" s="1"/>
      <c r="AC28" s="1"/>
      <c r="AD28" s="1"/>
      <c r="AE28" s="1"/>
    </row>
    <row r="29" spans="1:55" ht="45" x14ac:dyDescent="0.25">
      <c r="A29" s="32" t="s">
        <v>74</v>
      </c>
      <c r="B29" s="77">
        <f t="shared" ref="B29:F29" si="18">B18</f>
        <v>3146067</v>
      </c>
      <c r="C29" s="77">
        <f t="shared" si="18"/>
        <v>3629638.8000000003</v>
      </c>
      <c r="D29" s="77">
        <f t="shared" si="18"/>
        <v>5450415.3899999997</v>
      </c>
      <c r="E29" s="77">
        <f t="shared" si="18"/>
        <v>5786983.9170000004</v>
      </c>
      <c r="F29" s="77">
        <f t="shared" si="18"/>
        <v>3755866.42</v>
      </c>
      <c r="G29" s="77">
        <v>0</v>
      </c>
      <c r="H29" s="77">
        <v>0</v>
      </c>
      <c r="I29" s="77">
        <v>0</v>
      </c>
      <c r="J29" s="77">
        <v>0</v>
      </c>
      <c r="K29" s="77"/>
      <c r="L29" s="26">
        <v>0</v>
      </c>
      <c r="M29" s="154"/>
      <c r="N29" s="163"/>
      <c r="O29" s="79" t="s">
        <v>140</v>
      </c>
      <c r="P29" s="26">
        <v>69247.29598000001</v>
      </c>
      <c r="Q29" s="26">
        <v>87141.483999999997</v>
      </c>
      <c r="R29" s="26">
        <v>82540.05</v>
      </c>
      <c r="S29" s="26">
        <v>65853.792000000001</v>
      </c>
      <c r="T29" s="26">
        <v>82399.960000000006</v>
      </c>
      <c r="U29" s="26">
        <v>54765.800999999999</v>
      </c>
      <c r="V29" s="26">
        <v>100000</v>
      </c>
      <c r="W29" s="26">
        <v>100000</v>
      </c>
      <c r="X29" s="26">
        <v>100000</v>
      </c>
      <c r="Y29" s="26"/>
      <c r="Z29" s="26">
        <v>90000</v>
      </c>
      <c r="AA29" s="1"/>
      <c r="AB29" s="1"/>
      <c r="AC29" s="1"/>
      <c r="AD29" s="1"/>
      <c r="AE29" s="1"/>
    </row>
    <row r="30" spans="1:55" ht="45" x14ac:dyDescent="0.25">
      <c r="A30" s="25" t="s">
        <v>83</v>
      </c>
      <c r="B30" s="26">
        <v>675534.6</v>
      </c>
      <c r="C30" s="26">
        <v>807662.7</v>
      </c>
      <c r="D30" s="26">
        <v>1192727.5519999999</v>
      </c>
      <c r="E30" s="26">
        <v>830238.22400000005</v>
      </c>
      <c r="F30" s="26">
        <v>977951.25</v>
      </c>
      <c r="G30" s="26">
        <v>1007102.226</v>
      </c>
      <c r="H30" s="26">
        <v>1301588.3559999999</v>
      </c>
      <c r="I30" s="26">
        <v>1328235.656</v>
      </c>
      <c r="J30" s="26">
        <v>1384330.41</v>
      </c>
      <c r="K30" s="26">
        <v>15250.8</v>
      </c>
      <c r="L30" s="26">
        <v>1422249.7609999999</v>
      </c>
      <c r="M30" s="154"/>
      <c r="N30" s="163"/>
      <c r="O30" s="79" t="s">
        <v>139</v>
      </c>
      <c r="P30" s="26"/>
      <c r="Q30" s="26"/>
      <c r="R30" s="26"/>
      <c r="S30" s="26">
        <v>0</v>
      </c>
      <c r="T30" s="26">
        <v>4740</v>
      </c>
      <c r="U30" s="26">
        <v>44900</v>
      </c>
      <c r="V30" s="26">
        <v>100000</v>
      </c>
      <c r="W30" s="26">
        <v>100000</v>
      </c>
      <c r="X30" s="26">
        <v>240000</v>
      </c>
      <c r="Y30" s="26"/>
      <c r="Z30" s="26">
        <v>240000</v>
      </c>
      <c r="AA30" s="1"/>
      <c r="AB30" s="1"/>
      <c r="AC30" s="1"/>
      <c r="AD30" s="1"/>
      <c r="AE30" s="1"/>
    </row>
    <row r="31" spans="1:55" ht="69" customHeigh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54"/>
      <c r="N31" s="163"/>
      <c r="O31" s="145" t="s">
        <v>138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v>10000</v>
      </c>
      <c r="AA31" s="1"/>
      <c r="AB31" s="1"/>
      <c r="AC31" s="1"/>
      <c r="AD31" s="1"/>
      <c r="AE31" s="82">
        <f>T27+T28+0.48-T33</f>
        <v>-2373.9799999999814</v>
      </c>
    </row>
    <row r="32" spans="1:55" ht="22.5" x14ac:dyDescent="0.25">
      <c r="A32" s="25" t="s">
        <v>86</v>
      </c>
      <c r="B32" s="26">
        <v>33723.599999999999</v>
      </c>
      <c r="C32" s="26">
        <v>36699.5</v>
      </c>
      <c r="D32" s="26">
        <v>57340.783000000003</v>
      </c>
      <c r="E32" s="83">
        <v>79898.547000000006</v>
      </c>
      <c r="F32" s="83">
        <v>108332.27</v>
      </c>
      <c r="G32" s="26">
        <v>147832.921</v>
      </c>
      <c r="H32" s="26">
        <v>178019.3</v>
      </c>
      <c r="I32" s="26">
        <v>178692.7</v>
      </c>
      <c r="J32" s="26">
        <v>189690.2</v>
      </c>
      <c r="K32" s="26"/>
      <c r="L32" s="26">
        <v>195126</v>
      </c>
      <c r="M32" s="154"/>
      <c r="N32" s="163"/>
      <c r="O32" s="81" t="s">
        <v>85</v>
      </c>
      <c r="P32" s="35">
        <f>P33+P34</f>
        <v>240551.8</v>
      </c>
      <c r="Q32" s="35">
        <f>Q33+Q34</f>
        <v>271317.61499999999</v>
      </c>
      <c r="R32" s="35">
        <f>R33+R34</f>
        <v>266992.68</v>
      </c>
      <c r="S32" s="35">
        <f>S33+S34</f>
        <v>283995.49600000004</v>
      </c>
      <c r="T32" s="35">
        <f>T33+T34-0.01</f>
        <v>297277.55</v>
      </c>
      <c r="U32" s="35">
        <v>280906.92800000001</v>
      </c>
      <c r="V32" s="35">
        <v>456000</v>
      </c>
      <c r="W32" s="35">
        <v>490605.98</v>
      </c>
      <c r="X32" s="35">
        <v>617000</v>
      </c>
      <c r="Y32" s="35"/>
      <c r="Z32" s="35">
        <v>617000</v>
      </c>
      <c r="AA32" s="1"/>
      <c r="AB32" s="1"/>
      <c r="AC32" s="1"/>
      <c r="AD32" s="1"/>
      <c r="AE32" s="82">
        <f>T29+T30-T34</f>
        <v>6284.4200000000128</v>
      </c>
    </row>
    <row r="33" spans="1:26" ht="22.5" x14ac:dyDescent="0.25">
      <c r="A33" s="25"/>
      <c r="B33" s="26"/>
      <c r="C33" s="26"/>
      <c r="D33" s="26"/>
      <c r="E33" s="26"/>
      <c r="F33" s="26"/>
      <c r="G33" s="70"/>
      <c r="H33" s="26"/>
      <c r="I33" s="26"/>
      <c r="J33" s="26"/>
      <c r="K33" s="26"/>
      <c r="L33" s="26"/>
      <c r="M33" s="154"/>
      <c r="N33" s="163"/>
      <c r="O33" s="25" t="s">
        <v>87</v>
      </c>
      <c r="P33" s="26">
        <v>171765.1</v>
      </c>
      <c r="Q33" s="30">
        <v>197901.88699999999</v>
      </c>
      <c r="R33" s="30">
        <v>207541.25</v>
      </c>
      <c r="S33" s="30">
        <v>180998.28400000001</v>
      </c>
      <c r="T33" s="30">
        <f>216422.02</f>
        <v>216422.02</v>
      </c>
      <c r="U33" s="30">
        <v>219163.948</v>
      </c>
      <c r="V33" s="30">
        <v>356000</v>
      </c>
      <c r="W33" s="30">
        <v>390605.98</v>
      </c>
      <c r="X33" s="30">
        <v>377000</v>
      </c>
      <c r="Y33" s="30"/>
      <c r="Z33" s="30">
        <v>377000</v>
      </c>
    </row>
    <row r="34" spans="1:26" ht="22.5" x14ac:dyDescent="0.25">
      <c r="A34" s="25" t="s">
        <v>136</v>
      </c>
      <c r="B34" s="26">
        <v>209179.7</v>
      </c>
      <c r="C34" s="26">
        <v>250434</v>
      </c>
      <c r="D34" s="26">
        <v>348178.38900000002</v>
      </c>
      <c r="E34" s="26">
        <v>466120.96500000003</v>
      </c>
      <c r="F34" s="26">
        <v>609693.82999999996</v>
      </c>
      <c r="G34" s="26">
        <v>796226.95799999998</v>
      </c>
      <c r="H34" s="26">
        <v>1190225.308</v>
      </c>
      <c r="I34" s="26">
        <v>1202804.135</v>
      </c>
      <c r="J34" s="26">
        <v>1240719.787</v>
      </c>
      <c r="K34" s="70">
        <v>19657.400000000001</v>
      </c>
      <c r="L34" s="26">
        <v>1261314.6399999999</v>
      </c>
      <c r="M34" s="154"/>
      <c r="N34" s="163"/>
      <c r="O34" s="84" t="s">
        <v>88</v>
      </c>
      <c r="P34" s="26">
        <v>68786.7</v>
      </c>
      <c r="Q34" s="26">
        <v>73415.728000000003</v>
      </c>
      <c r="R34" s="26">
        <v>59451.43</v>
      </c>
      <c r="S34" s="26">
        <v>102997.212</v>
      </c>
      <c r="T34" s="26">
        <f>76415.54+4440</f>
        <v>80855.539999999994</v>
      </c>
      <c r="U34" s="26">
        <v>61742.98</v>
      </c>
      <c r="V34" s="26">
        <v>100000</v>
      </c>
      <c r="W34" s="26">
        <v>100000</v>
      </c>
      <c r="X34" s="26">
        <v>240000</v>
      </c>
      <c r="Y34" s="26"/>
      <c r="Z34" s="26">
        <v>240000</v>
      </c>
    </row>
    <row r="35" spans="1:26" ht="22.5" x14ac:dyDescent="0.25">
      <c r="A35" s="85" t="s">
        <v>74</v>
      </c>
      <c r="B35" s="33">
        <f>B17</f>
        <v>29200</v>
      </c>
      <c r="C35" s="33"/>
      <c r="D35" s="33"/>
      <c r="E35" s="33"/>
      <c r="F35" s="33"/>
      <c r="G35" s="86"/>
      <c r="H35" s="33"/>
      <c r="I35" s="33"/>
      <c r="J35" s="33"/>
      <c r="K35" s="33"/>
      <c r="L35" s="26"/>
      <c r="M35" s="154"/>
      <c r="N35" s="163"/>
      <c r="O35" s="71" t="s">
        <v>66</v>
      </c>
      <c r="P35" s="72">
        <f t="shared" ref="P35:T35" si="19">P26-P32</f>
        <v>13141.995980000036</v>
      </c>
      <c r="Q35" s="72">
        <f t="shared" si="19"/>
        <v>13468.396999999997</v>
      </c>
      <c r="R35" s="72">
        <f t="shared" si="19"/>
        <v>10266.09600000002</v>
      </c>
      <c r="S35" s="72">
        <f t="shared" si="19"/>
        <v>-11642.707000000053</v>
      </c>
      <c r="T35" s="72">
        <f t="shared" si="19"/>
        <v>3910.4500000000116</v>
      </c>
      <c r="U35" s="72">
        <v>-33765.875999999989</v>
      </c>
      <c r="V35" s="72">
        <v>0</v>
      </c>
      <c r="W35" s="72">
        <v>-34605.979999999981</v>
      </c>
      <c r="X35" s="72">
        <v>0</v>
      </c>
      <c r="Y35" s="72"/>
      <c r="Z35" s="72">
        <v>0</v>
      </c>
    </row>
    <row r="36" spans="1:26" ht="22.5" x14ac:dyDescent="0.25">
      <c r="A36" s="25" t="s">
        <v>90</v>
      </c>
      <c r="B36" s="26">
        <v>1348846.2</v>
      </c>
      <c r="C36" s="26">
        <v>1624377.9</v>
      </c>
      <c r="D36" s="26">
        <v>1065932.118</v>
      </c>
      <c r="E36" s="26">
        <v>814892.34499999997</v>
      </c>
      <c r="F36" s="26">
        <v>931972.04</v>
      </c>
      <c r="G36" s="26">
        <v>1191936.993</v>
      </c>
      <c r="H36" s="26">
        <v>1436009.919</v>
      </c>
      <c r="I36" s="26">
        <v>1523296.922</v>
      </c>
      <c r="J36" s="26">
        <v>1471131.0630000001</v>
      </c>
      <c r="K36" s="26">
        <v>101691.5</v>
      </c>
      <c r="L36" s="26">
        <v>1561038.554</v>
      </c>
      <c r="M36" s="154"/>
      <c r="N36" s="163"/>
      <c r="O36" s="71" t="s">
        <v>68</v>
      </c>
      <c r="P36" s="72">
        <f t="shared" ref="P36:S36" si="20">P37</f>
        <v>0</v>
      </c>
      <c r="Q36" s="72">
        <f t="shared" si="20"/>
        <v>-13468.4</v>
      </c>
      <c r="R36" s="72">
        <f t="shared" si="20"/>
        <v>-10266.1</v>
      </c>
      <c r="S36" s="72">
        <f t="shared" si="20"/>
        <v>11642.706999999999</v>
      </c>
      <c r="T36" s="72">
        <f>-T35</f>
        <v>-3910.4500000000116</v>
      </c>
      <c r="U36" s="72">
        <v>33765.877</v>
      </c>
      <c r="V36" s="72">
        <v>0</v>
      </c>
      <c r="W36" s="72">
        <v>34605.978000000003</v>
      </c>
      <c r="X36" s="72">
        <v>0</v>
      </c>
      <c r="Y36" s="72"/>
      <c r="Z36" s="72">
        <v>0</v>
      </c>
    </row>
    <row r="37" spans="1:26" ht="22.5" x14ac:dyDescent="0.25">
      <c r="A37" s="25"/>
      <c r="B37" s="26">
        <v>373545.1</v>
      </c>
      <c r="C37" s="26"/>
      <c r="D37" s="26"/>
      <c r="E37" s="26"/>
      <c r="F37" s="26"/>
      <c r="G37" s="70"/>
      <c r="H37" s="26"/>
      <c r="I37" s="26"/>
      <c r="J37" s="26"/>
      <c r="K37" s="26"/>
      <c r="L37" s="26"/>
      <c r="M37" s="154"/>
      <c r="N37" s="163"/>
      <c r="O37" s="25" t="s">
        <v>70</v>
      </c>
      <c r="P37" s="30"/>
      <c r="Q37" s="30">
        <v>-13468.4</v>
      </c>
      <c r="R37" s="30">
        <v>-10266.1</v>
      </c>
      <c r="S37" s="30">
        <f>-25500.713+37143.42</f>
        <v>11642.706999999999</v>
      </c>
      <c r="T37" s="30">
        <v>-3910.45</v>
      </c>
      <c r="U37" s="30">
        <v>33765.877</v>
      </c>
      <c r="V37" s="30">
        <v>0</v>
      </c>
      <c r="W37" s="30">
        <v>34605.978000000003</v>
      </c>
      <c r="X37" s="30"/>
      <c r="Y37" s="30"/>
      <c r="Z37" s="30">
        <v>0</v>
      </c>
    </row>
    <row r="38" spans="1:26" ht="45" x14ac:dyDescent="0.25">
      <c r="A38" s="65" t="s">
        <v>93</v>
      </c>
      <c r="B38" s="26">
        <v>1165330.5</v>
      </c>
      <c r="C38" s="26">
        <v>1306122.1000000001</v>
      </c>
      <c r="D38" s="26">
        <v>2297239.7319999998</v>
      </c>
      <c r="E38" s="26">
        <v>2251285.673</v>
      </c>
      <c r="F38" s="26">
        <f>2719948.85+226780.63</f>
        <v>2946729.48</v>
      </c>
      <c r="G38" s="26">
        <v>5198061.26</v>
      </c>
      <c r="H38" s="26">
        <v>3456327.8969999999</v>
      </c>
      <c r="I38" s="26">
        <v>6525127.8969999999</v>
      </c>
      <c r="J38" s="26">
        <v>3287513.4569999999</v>
      </c>
      <c r="K38" s="26">
        <v>500000</v>
      </c>
      <c r="L38" s="26">
        <v>4708813.4570000004</v>
      </c>
      <c r="M38" s="154"/>
      <c r="N38" s="161" t="s">
        <v>91</v>
      </c>
      <c r="O38" s="78" t="s">
        <v>92</v>
      </c>
      <c r="P38" s="22">
        <f t="shared" ref="P38:T38" si="21">P39+P40+P41</f>
        <v>25270.3</v>
      </c>
      <c r="Q38" s="22">
        <f t="shared" si="21"/>
        <v>62943.519</v>
      </c>
      <c r="R38" s="22">
        <f t="shared" si="21"/>
        <v>80640.929999999993</v>
      </c>
      <c r="S38" s="22">
        <f t="shared" si="21"/>
        <v>80098.148000000001</v>
      </c>
      <c r="T38" s="22">
        <f t="shared" si="21"/>
        <v>59616.09</v>
      </c>
      <c r="U38" s="22">
        <v>50822.265999999996</v>
      </c>
      <c r="V38" s="22">
        <v>65520</v>
      </c>
      <c r="W38" s="22">
        <v>79275.928</v>
      </c>
      <c r="X38" s="22">
        <v>89370</v>
      </c>
      <c r="Y38" s="22"/>
      <c r="Z38" s="22">
        <v>89370</v>
      </c>
    </row>
    <row r="39" spans="1:26" ht="45" x14ac:dyDescent="0.25">
      <c r="A39" s="85" t="s">
        <v>74</v>
      </c>
      <c r="B39" s="26">
        <v>180344</v>
      </c>
      <c r="C39" s="26"/>
      <c r="D39" s="26"/>
      <c r="E39" s="26"/>
      <c r="F39" s="26"/>
      <c r="G39" s="70"/>
      <c r="H39" s="26"/>
      <c r="I39" s="26"/>
      <c r="J39" s="26"/>
      <c r="K39" s="26"/>
      <c r="L39" s="26"/>
      <c r="M39" s="154"/>
      <c r="N39" s="161"/>
      <c r="O39" s="87" t="s">
        <v>94</v>
      </c>
      <c r="P39" s="66">
        <v>4305.5</v>
      </c>
      <c r="Q39" s="66">
        <f>43170+4455.941</f>
        <v>47625.940999999999</v>
      </c>
      <c r="R39" s="66">
        <v>65596.789999999994</v>
      </c>
      <c r="S39" s="66">
        <f>42156.64-225.303+3287.209+3014.877</f>
        <v>48233.423000000003</v>
      </c>
      <c r="T39" s="66">
        <f>36414.78+1.41+3442.74+252.27</f>
        <v>40111.199999999997</v>
      </c>
      <c r="U39" s="66">
        <v>36911.629999999997</v>
      </c>
      <c r="V39" s="66">
        <v>39520</v>
      </c>
      <c r="W39" s="66">
        <v>39520</v>
      </c>
      <c r="X39" s="66">
        <v>39370</v>
      </c>
      <c r="Y39" s="66"/>
      <c r="Z39" s="66">
        <v>39370</v>
      </c>
    </row>
    <row r="40" spans="1:26" ht="22.5" x14ac:dyDescent="0.25">
      <c r="A40" s="88"/>
      <c r="B40" s="26"/>
      <c r="C40" s="33"/>
      <c r="D40" s="33"/>
      <c r="E40" s="33"/>
      <c r="F40" s="33"/>
      <c r="G40" s="86"/>
      <c r="H40" s="33"/>
      <c r="I40" s="33"/>
      <c r="J40" s="33"/>
      <c r="K40" s="33"/>
      <c r="L40" s="26"/>
      <c r="M40" s="154"/>
      <c r="N40" s="161"/>
      <c r="O40" s="87" t="s">
        <v>95</v>
      </c>
      <c r="P40" s="66">
        <v>8843.2999999999993</v>
      </c>
      <c r="Q40" s="66">
        <v>15151.436</v>
      </c>
      <c r="R40" s="66">
        <v>14286.82</v>
      </c>
      <c r="S40" s="66">
        <v>31700.379000000001</v>
      </c>
      <c r="T40" s="66">
        <v>17857.3</v>
      </c>
      <c r="U40" s="66">
        <v>13907.544</v>
      </c>
      <c r="V40" s="66">
        <v>26000</v>
      </c>
      <c r="W40" s="66">
        <v>26000</v>
      </c>
      <c r="X40" s="66">
        <v>50000</v>
      </c>
      <c r="Y40" s="66"/>
      <c r="Z40" s="66">
        <v>50000</v>
      </c>
    </row>
    <row r="41" spans="1:26" ht="22.5" x14ac:dyDescent="0.25">
      <c r="A41" s="25" t="s">
        <v>97</v>
      </c>
      <c r="B41" s="26">
        <f>900+183.9</f>
        <v>1083.9000000000001</v>
      </c>
      <c r="C41" s="26"/>
      <c r="D41" s="26">
        <v>124.5</v>
      </c>
      <c r="E41" s="83">
        <v>0</v>
      </c>
      <c r="F41" s="26">
        <v>1635.93</v>
      </c>
      <c r="G41" s="26">
        <v>0</v>
      </c>
      <c r="H41" s="26">
        <v>540</v>
      </c>
      <c r="I41" s="26">
        <v>540</v>
      </c>
      <c r="J41" s="26">
        <v>540</v>
      </c>
      <c r="K41" s="26"/>
      <c r="L41" s="26">
        <v>540</v>
      </c>
      <c r="M41" s="154"/>
      <c r="N41" s="161"/>
      <c r="O41" s="87" t="s">
        <v>96</v>
      </c>
      <c r="P41" s="66">
        <v>12121.5</v>
      </c>
      <c r="Q41" s="66">
        <v>166.142</v>
      </c>
      <c r="R41" s="66">
        <v>757.32</v>
      </c>
      <c r="S41" s="66">
        <v>164.346</v>
      </c>
      <c r="T41" s="66">
        <v>1647.59</v>
      </c>
      <c r="U41" s="66">
        <v>3.0920000000000001</v>
      </c>
      <c r="V41" s="66">
        <v>0</v>
      </c>
      <c r="W41" s="66">
        <v>13755.928</v>
      </c>
      <c r="X41" s="66">
        <v>0</v>
      </c>
      <c r="Y41" s="66"/>
      <c r="Z41" s="66">
        <v>0</v>
      </c>
    </row>
    <row r="42" spans="1:26" ht="43.5" x14ac:dyDescent="0.25">
      <c r="A42" s="25"/>
      <c r="B42" s="26"/>
      <c r="C42" s="26"/>
      <c r="D42" s="26"/>
      <c r="E42" s="26"/>
      <c r="F42" s="26"/>
      <c r="G42" s="70"/>
      <c r="H42" s="26"/>
      <c r="I42" s="26"/>
      <c r="J42" s="26"/>
      <c r="K42" s="26"/>
      <c r="L42" s="26"/>
      <c r="M42" s="154"/>
      <c r="N42" s="161"/>
      <c r="O42" s="81" t="s">
        <v>98</v>
      </c>
      <c r="P42" s="35">
        <f>P43+P44+P45</f>
        <v>57844</v>
      </c>
      <c r="Q42" s="35">
        <f>Q43+Q44+Q45</f>
        <v>45992.65</v>
      </c>
      <c r="R42" s="35">
        <f>R43+R44+R45</f>
        <v>84280.72</v>
      </c>
      <c r="S42" s="35">
        <f>S43+S44+S45</f>
        <v>114313.29699999999</v>
      </c>
      <c r="T42" s="35">
        <f>T43+T44+T45-0.01</f>
        <v>66054.03</v>
      </c>
      <c r="U42" s="35">
        <v>43668.95</v>
      </c>
      <c r="V42" s="35">
        <v>65520</v>
      </c>
      <c r="W42" s="35">
        <v>89067.758000000002</v>
      </c>
      <c r="X42" s="35">
        <v>89370</v>
      </c>
      <c r="Y42" s="35"/>
      <c r="Z42" s="35">
        <v>89370</v>
      </c>
    </row>
    <row r="43" spans="1:26" ht="45" x14ac:dyDescent="0.25">
      <c r="A43" s="65" t="s">
        <v>100</v>
      </c>
      <c r="B43" s="26">
        <v>8342.9</v>
      </c>
      <c r="C43" s="26">
        <v>9017.1</v>
      </c>
      <c r="D43" s="26">
        <v>20862.108</v>
      </c>
      <c r="E43" s="26">
        <v>25019.524000000001</v>
      </c>
      <c r="F43" s="26">
        <v>28041.98</v>
      </c>
      <c r="G43" s="26">
        <v>36100.821000000004</v>
      </c>
      <c r="H43" s="26">
        <v>39871</v>
      </c>
      <c r="I43" s="26">
        <v>39871</v>
      </c>
      <c r="J43" s="26">
        <v>48155.73</v>
      </c>
      <c r="K43" s="26"/>
      <c r="L43" s="26">
        <v>48155.73</v>
      </c>
      <c r="M43" s="154"/>
      <c r="N43" s="161"/>
      <c r="O43" s="89" t="s">
        <v>99</v>
      </c>
      <c r="P43" s="30">
        <v>44747.9</v>
      </c>
      <c r="Q43" s="30">
        <v>28939.850999999999</v>
      </c>
      <c r="R43" s="66">
        <v>67410.39</v>
      </c>
      <c r="S43" s="66">
        <v>80430.475999999995</v>
      </c>
      <c r="T43" s="66">
        <v>43848.68</v>
      </c>
      <c r="U43" s="66">
        <v>27675.974999999999</v>
      </c>
      <c r="V43" s="66">
        <v>39520</v>
      </c>
      <c r="W43" s="66">
        <v>49080.754000000001</v>
      </c>
      <c r="X43" s="66">
        <v>39370</v>
      </c>
      <c r="Y43" s="66"/>
      <c r="Z43" s="66">
        <v>39370</v>
      </c>
    </row>
    <row r="44" spans="1:26" ht="22.5" x14ac:dyDescent="0.25">
      <c r="A44" s="65"/>
      <c r="B44" s="26"/>
      <c r="C44" s="26"/>
      <c r="D44" s="26"/>
      <c r="E44" s="26"/>
      <c r="F44" s="26"/>
      <c r="G44" s="70"/>
      <c r="H44" s="26"/>
      <c r="I44" s="26"/>
      <c r="J44" s="26"/>
      <c r="K44" s="26"/>
      <c r="L44" s="26"/>
      <c r="M44" s="154"/>
      <c r="N44" s="161"/>
      <c r="O44" s="90" t="s">
        <v>101</v>
      </c>
      <c r="P44" s="30">
        <v>13096.1</v>
      </c>
      <c r="Q44" s="30">
        <v>12706.2</v>
      </c>
      <c r="R44" s="66">
        <v>16870.330000000002</v>
      </c>
      <c r="S44" s="66">
        <v>33882.821000000004</v>
      </c>
      <c r="T44" s="66">
        <v>21936.71</v>
      </c>
      <c r="U44" s="66">
        <v>13920.222</v>
      </c>
      <c r="V44" s="66">
        <v>26000</v>
      </c>
      <c r="W44" s="66">
        <v>26000</v>
      </c>
      <c r="X44" s="66">
        <v>50000</v>
      </c>
      <c r="Y44" s="66"/>
      <c r="Z44" s="66">
        <v>50000</v>
      </c>
    </row>
    <row r="45" spans="1:26" ht="22.5" x14ac:dyDescent="0.25">
      <c r="A45" s="25" t="s">
        <v>137</v>
      </c>
      <c r="B45" s="30">
        <v>1576847</v>
      </c>
      <c r="C45" s="30">
        <f>281438.6+598484.881</f>
        <v>879923.48100000003</v>
      </c>
      <c r="D45" s="30">
        <f>15059.668+719743.159</f>
        <v>734802.82699999993</v>
      </c>
      <c r="E45" s="30">
        <f>393445.321+738939.574</f>
        <v>1132384.895</v>
      </c>
      <c r="F45" s="30">
        <f>231543.35+710796.05</f>
        <v>942339.4</v>
      </c>
      <c r="G45" s="30">
        <v>1745621.284</v>
      </c>
      <c r="H45" s="30">
        <v>1109292.1029999999</v>
      </c>
      <c r="I45" s="30">
        <v>368491.033</v>
      </c>
      <c r="J45" s="30">
        <v>863353.19499999995</v>
      </c>
      <c r="K45" s="30">
        <v>-275534.38299999997</v>
      </c>
      <c r="L45" s="26">
        <v>971762.76800000004</v>
      </c>
      <c r="M45" s="154"/>
      <c r="N45" s="161"/>
      <c r="O45" s="90" t="s">
        <v>102</v>
      </c>
      <c r="P45" s="30">
        <v>0</v>
      </c>
      <c r="Q45" s="30">
        <v>4346.5990000000002</v>
      </c>
      <c r="R45" s="30">
        <v>0</v>
      </c>
      <c r="S45" s="30">
        <v>0</v>
      </c>
      <c r="T45" s="30">
        <v>268.64999999999998</v>
      </c>
      <c r="U45" s="66">
        <v>2072.7530000000002</v>
      </c>
      <c r="V45" s="66">
        <v>0</v>
      </c>
      <c r="W45" s="66">
        <v>13987.004000000001</v>
      </c>
      <c r="X45" s="66"/>
      <c r="Y45" s="66"/>
      <c r="Z45" s="66">
        <v>0</v>
      </c>
    </row>
    <row r="46" spans="1:26" ht="22.5" x14ac:dyDescent="0.25">
      <c r="A46" s="85" t="s">
        <v>74</v>
      </c>
      <c r="B46" s="62"/>
      <c r="C46" s="92"/>
      <c r="D46" s="62"/>
      <c r="E46" s="62"/>
      <c r="F46" s="62"/>
      <c r="G46" s="93"/>
      <c r="H46" s="62"/>
      <c r="I46" s="62"/>
      <c r="J46" s="62"/>
      <c r="K46" s="62"/>
      <c r="L46" s="26"/>
      <c r="M46" s="154"/>
      <c r="N46" s="161"/>
      <c r="O46" s="91" t="s">
        <v>66</v>
      </c>
      <c r="P46" s="72">
        <f t="shared" ref="P46:T46" si="22">P38-P42</f>
        <v>-32573.7</v>
      </c>
      <c r="Q46" s="72">
        <f t="shared" si="22"/>
        <v>16950.868999999999</v>
      </c>
      <c r="R46" s="72">
        <f t="shared" si="22"/>
        <v>-3639.7900000000081</v>
      </c>
      <c r="S46" s="72">
        <f t="shared" si="22"/>
        <v>-34215.14899999999</v>
      </c>
      <c r="T46" s="72">
        <f t="shared" si="22"/>
        <v>-6437.9400000000023</v>
      </c>
      <c r="U46" s="72">
        <v>7153.3159999999989</v>
      </c>
      <c r="V46" s="72">
        <v>0</v>
      </c>
      <c r="W46" s="72">
        <v>-9791.8300000000017</v>
      </c>
      <c r="X46" s="72">
        <v>0</v>
      </c>
      <c r="Y46" s="72"/>
      <c r="Z46" s="72">
        <v>0</v>
      </c>
    </row>
    <row r="47" spans="1:26" ht="22.5" x14ac:dyDescent="0.25">
      <c r="A47" s="25" t="s">
        <v>104</v>
      </c>
      <c r="B47" s="26">
        <v>290104.2</v>
      </c>
      <c r="C47" s="26">
        <f>1098473.11-213609.71-598484.881</f>
        <v>286378.51900000009</v>
      </c>
      <c r="D47" s="26">
        <f>1307879.044-719743.159-D41-11.23</f>
        <v>588000.15500000003</v>
      </c>
      <c r="E47" s="26">
        <f>235957.806+22003.1+76243.465+2545.7+859686.493+3740.791+8359.616+145415.472+0.01+79650-738939.574</f>
        <v>694662.87899999996</v>
      </c>
      <c r="F47" s="26">
        <f>193970.47+1081033.65+27405.64+10322.95+20607.33+36682.39+3391.7-710796.05</f>
        <v>662618.07999999961</v>
      </c>
      <c r="G47" s="26">
        <v>847254.88199999998</v>
      </c>
      <c r="H47" s="26">
        <v>1145164.669</v>
      </c>
      <c r="I47" s="26">
        <v>1246054.97</v>
      </c>
      <c r="J47" s="26">
        <v>2056357.5259999991</v>
      </c>
      <c r="K47" s="26">
        <v>-817328.59399999992</v>
      </c>
      <c r="L47" s="26">
        <v>1277091.3230000001</v>
      </c>
      <c r="M47" s="154"/>
      <c r="N47" s="161"/>
      <c r="O47" s="71" t="s">
        <v>68</v>
      </c>
      <c r="P47" s="72">
        <f t="shared" ref="P47:S47" si="23">P48</f>
        <v>0</v>
      </c>
      <c r="Q47" s="72">
        <f t="shared" si="23"/>
        <v>-16950.87</v>
      </c>
      <c r="R47" s="72">
        <f t="shared" si="23"/>
        <v>3639.79</v>
      </c>
      <c r="S47" s="72">
        <f t="shared" si="23"/>
        <v>34215.148000000001</v>
      </c>
      <c r="T47" s="72">
        <v>6437.94</v>
      </c>
      <c r="U47" s="72">
        <v>-7153.3159999999998</v>
      </c>
      <c r="V47" s="72">
        <v>0</v>
      </c>
      <c r="W47" s="72">
        <v>9791.83</v>
      </c>
      <c r="X47" s="72">
        <v>0</v>
      </c>
      <c r="Y47" s="72"/>
      <c r="Z47" s="72">
        <v>0</v>
      </c>
    </row>
    <row r="48" spans="1:26" ht="21.75" customHeight="1" x14ac:dyDescent="0.25">
      <c r="A48" s="32" t="s">
        <v>105</v>
      </c>
      <c r="B48" s="33"/>
      <c r="C48" s="33"/>
      <c r="D48" s="33"/>
      <c r="E48" s="33"/>
      <c r="F48" s="33"/>
      <c r="G48" s="86"/>
      <c r="H48" s="33">
        <v>212371.20000000001</v>
      </c>
      <c r="I48" s="33">
        <v>212371.20000000001</v>
      </c>
      <c r="J48" s="33">
        <v>400000</v>
      </c>
      <c r="K48" s="33"/>
      <c r="L48" s="26">
        <v>250000</v>
      </c>
      <c r="M48" s="154"/>
      <c r="N48" s="161"/>
      <c r="O48" s="25" t="s">
        <v>70</v>
      </c>
      <c r="P48" s="30"/>
      <c r="Q48" s="30">
        <v>-16950.87</v>
      </c>
      <c r="R48" s="30">
        <v>3639.79</v>
      </c>
      <c r="S48" s="30">
        <f>32197.053+2182.441-164.346</f>
        <v>34215.148000000001</v>
      </c>
      <c r="T48" s="30">
        <v>6437.94</v>
      </c>
      <c r="U48" s="30">
        <v>-7153.3159999999998</v>
      </c>
      <c r="V48" s="30">
        <v>0</v>
      </c>
      <c r="W48" s="30">
        <v>9791.83</v>
      </c>
      <c r="X48" s="30"/>
      <c r="Y48" s="30"/>
      <c r="Z48" s="30">
        <v>0</v>
      </c>
    </row>
    <row r="49" spans="1:56" ht="21.75" customHeight="1" x14ac:dyDescent="0.25">
      <c r="A49" s="32"/>
      <c r="B49" s="26"/>
      <c r="C49" s="26"/>
      <c r="D49" s="33"/>
      <c r="E49" s="33"/>
      <c r="F49" s="33"/>
      <c r="G49" s="86"/>
      <c r="H49" s="33"/>
      <c r="I49" s="33"/>
      <c r="J49" s="33"/>
      <c r="K49" s="33"/>
      <c r="L49" s="33"/>
      <c r="M49" s="154"/>
      <c r="N49" s="161" t="s">
        <v>106</v>
      </c>
      <c r="O49" s="94" t="s">
        <v>107</v>
      </c>
      <c r="P49" s="22">
        <v>162.80000000000001</v>
      </c>
      <c r="Q49" s="22">
        <v>597258.44900000002</v>
      </c>
      <c r="R49" s="22">
        <v>1039168.71</v>
      </c>
      <c r="S49" s="22">
        <f>1153086.5+248566.811</f>
        <v>1401653.311</v>
      </c>
      <c r="T49" s="22">
        <f>1467520.3+105</f>
        <v>1467625.3</v>
      </c>
      <c r="U49" s="22">
        <v>2217296.7000000002</v>
      </c>
      <c r="V49" s="22">
        <v>1810115.1</v>
      </c>
      <c r="W49" s="22">
        <v>2356169.4</v>
      </c>
      <c r="X49" s="22">
        <v>2237538.1</v>
      </c>
      <c r="Y49" s="22">
        <v>76600.800000000003</v>
      </c>
      <c r="Z49" s="22">
        <v>2460041.1</v>
      </c>
      <c r="AA49" s="1"/>
      <c r="AB49" s="1"/>
    </row>
    <row r="50" spans="1:56" ht="21.75" customHeight="1" x14ac:dyDescent="0.25">
      <c r="A50" s="25"/>
      <c r="B50" s="26"/>
      <c r="C50" s="26"/>
      <c r="D50" s="26"/>
      <c r="E50" s="26"/>
      <c r="F50" s="26"/>
      <c r="G50" s="70"/>
      <c r="H50" s="26"/>
      <c r="I50" s="26"/>
      <c r="J50" s="26"/>
      <c r="K50" s="26"/>
      <c r="L50" s="26"/>
      <c r="M50" s="154"/>
      <c r="N50" s="161"/>
      <c r="O50" s="95" t="s">
        <v>108</v>
      </c>
      <c r="P50" s="35">
        <f t="shared" ref="P50:T50" si="24">P51</f>
        <v>525.9</v>
      </c>
      <c r="Q50" s="35">
        <f t="shared" si="24"/>
        <v>387863.58199999999</v>
      </c>
      <c r="R50" s="35">
        <f t="shared" si="24"/>
        <v>813786.47</v>
      </c>
      <c r="S50" s="35">
        <f t="shared" si="24"/>
        <v>1815459.898</v>
      </c>
      <c r="T50" s="35">
        <f t="shared" si="24"/>
        <v>1423537.95</v>
      </c>
      <c r="U50" s="35">
        <v>2259291.8339999998</v>
      </c>
      <c r="V50" s="35">
        <v>1810115.1</v>
      </c>
      <c r="W50" s="35">
        <v>2375745.1880000001</v>
      </c>
      <c r="X50" s="35">
        <v>2237538.1</v>
      </c>
      <c r="Y50" s="35">
        <v>76600.800000000003</v>
      </c>
      <c r="Z50" s="35">
        <v>2460041.1</v>
      </c>
      <c r="AA50" s="1"/>
      <c r="AB50" s="1"/>
    </row>
    <row r="51" spans="1:56" ht="45" x14ac:dyDescent="0.25">
      <c r="A51" s="71" t="s">
        <v>110</v>
      </c>
      <c r="B51" s="98">
        <f t="shared" ref="B51:F51" si="25">B4-B22</f>
        <v>6258572.1000000089</v>
      </c>
      <c r="C51" s="98">
        <f t="shared" si="25"/>
        <v>11473093.899999999</v>
      </c>
      <c r="D51" s="98">
        <f t="shared" si="25"/>
        <v>11157848.441000003</v>
      </c>
      <c r="E51" s="98">
        <f t="shared" si="25"/>
        <v>14576678.311000012</v>
      </c>
      <c r="F51" s="98">
        <f t="shared" si="25"/>
        <v>16786681.920000009</v>
      </c>
      <c r="G51" s="98">
        <v>13743233.903999999</v>
      </c>
      <c r="H51" s="98">
        <v>10933990.554000005</v>
      </c>
      <c r="I51" s="98">
        <v>12970453.957999997</v>
      </c>
      <c r="J51" s="98">
        <v>12305539.762000002</v>
      </c>
      <c r="K51" s="98">
        <v>2016971.8769999999</v>
      </c>
      <c r="L51" s="98">
        <v>13485645.028000005</v>
      </c>
      <c r="M51" s="154"/>
      <c r="N51" s="161"/>
      <c r="O51" s="96" t="s">
        <v>109</v>
      </c>
      <c r="P51" s="97">
        <v>525.9</v>
      </c>
      <c r="Q51" s="97">
        <f>387863.582</f>
        <v>387863.58199999999</v>
      </c>
      <c r="R51" s="97">
        <v>813786.47</v>
      </c>
      <c r="S51" s="97">
        <f>663886.686+1151573.212</f>
        <v>1815459.898</v>
      </c>
      <c r="T51" s="97">
        <f>1407567.66+15970.29</f>
        <v>1423537.95</v>
      </c>
      <c r="U51" s="97">
        <v>2259291.8339999998</v>
      </c>
      <c r="V51" s="97">
        <v>1810115.1</v>
      </c>
      <c r="W51" s="97">
        <v>2375745.1880000001</v>
      </c>
      <c r="X51" s="97">
        <v>2237538.1</v>
      </c>
      <c r="Y51" s="97">
        <v>76600.800000000003</v>
      </c>
      <c r="Z51" s="97">
        <v>2460041.1</v>
      </c>
      <c r="AA51" s="36">
        <f>S49-S51+S52</f>
        <v>-413806.58700000006</v>
      </c>
      <c r="AB51" s="1"/>
    </row>
    <row r="52" spans="1:56" ht="22.5" x14ac:dyDescent="0.25">
      <c r="A52" s="71" t="s">
        <v>112</v>
      </c>
      <c r="B52" s="98"/>
      <c r="C52" s="98">
        <v>-1915253</v>
      </c>
      <c r="D52" s="98"/>
      <c r="E52" s="98"/>
      <c r="F52" s="98">
        <v>-196004.3</v>
      </c>
      <c r="G52" s="98">
        <v>86734.081000000006</v>
      </c>
      <c r="H52" s="98">
        <v>77836.671000000002</v>
      </c>
      <c r="I52" s="98">
        <v>65331.930999999997</v>
      </c>
      <c r="J52" s="98">
        <v>2434028.2850000001</v>
      </c>
      <c r="K52" s="98">
        <v>-2429019.7770000002</v>
      </c>
      <c r="L52" s="98">
        <v>18278.508000000002</v>
      </c>
      <c r="M52" s="154"/>
      <c r="N52" s="161"/>
      <c r="O52" s="99" t="s">
        <v>111</v>
      </c>
      <c r="P52" s="100"/>
      <c r="Q52" s="100"/>
      <c r="R52" s="100"/>
      <c r="S52" s="100"/>
      <c r="T52" s="100">
        <v>3486.94</v>
      </c>
      <c r="U52" s="100">
        <v>0</v>
      </c>
      <c r="V52" s="100">
        <v>0</v>
      </c>
      <c r="W52" s="100">
        <v>0</v>
      </c>
      <c r="X52" s="100">
        <v>0</v>
      </c>
      <c r="Y52" s="100"/>
      <c r="Z52" s="100">
        <v>0</v>
      </c>
      <c r="AA52" s="36">
        <f>S54-S55</f>
        <v>65590.651999999769</v>
      </c>
      <c r="AB52" s="1"/>
    </row>
    <row r="53" spans="1:56" ht="22.5" x14ac:dyDescent="0.25">
      <c r="A53" s="71" t="s">
        <v>113</v>
      </c>
      <c r="B53" s="98" t="e">
        <f>B54+B55+#REF!-3.9</f>
        <v>#REF!</v>
      </c>
      <c r="C53" s="98" t="e">
        <f>C54+C55+#REF!</f>
        <v>#REF!</v>
      </c>
      <c r="D53" s="98" t="e">
        <f>D54+D55+#REF!</f>
        <v>#REF!</v>
      </c>
      <c r="E53" s="98" t="e">
        <f>E54+E55+#REF!</f>
        <v>#REF!</v>
      </c>
      <c r="F53" s="98" t="e">
        <f>F54+F55+#REF!</f>
        <v>#REF!</v>
      </c>
      <c r="G53" s="98">
        <v>-13829967.988</v>
      </c>
      <c r="H53" s="98">
        <v>-11011827.225</v>
      </c>
      <c r="I53" s="98">
        <v>-13035785.889</v>
      </c>
      <c r="J53" s="98">
        <v>-14739568.047</v>
      </c>
      <c r="K53" s="98">
        <v>0</v>
      </c>
      <c r="L53" s="98">
        <v>-13503923.536</v>
      </c>
      <c r="M53" s="154"/>
      <c r="N53" s="161"/>
      <c r="O53" s="25" t="s">
        <v>70</v>
      </c>
      <c r="P53" s="97">
        <v>363.1</v>
      </c>
      <c r="Q53" s="97">
        <f>Q51-Q50</f>
        <v>0</v>
      </c>
      <c r="R53" s="97">
        <v>-225382.24</v>
      </c>
      <c r="S53" s="97">
        <v>413806.58799999999</v>
      </c>
      <c r="T53" s="97">
        <f>T49-T51-T52</f>
        <v>40600.410000000091</v>
      </c>
      <c r="U53" s="97">
        <v>41995.133999999998</v>
      </c>
      <c r="V53" s="97">
        <v>0</v>
      </c>
      <c r="W53" s="97">
        <v>19575.788</v>
      </c>
      <c r="X53" s="97"/>
      <c r="Y53" s="97"/>
      <c r="Z53" s="97">
        <v>0</v>
      </c>
      <c r="AA53" s="36"/>
      <c r="AB53" s="1"/>
      <c r="AE53" s="101">
        <f>T54-T55</f>
        <v>39560.839999999851</v>
      </c>
    </row>
    <row r="54" spans="1:56" ht="22.5" x14ac:dyDescent="0.25">
      <c r="A54" s="25" t="s">
        <v>70</v>
      </c>
      <c r="B54" s="30">
        <f>-1478580.9+81884.9</f>
        <v>-1396696</v>
      </c>
      <c r="C54" s="30">
        <f>-3333734.87+1478580.94-9.18</f>
        <v>-1855163.11</v>
      </c>
      <c r="D54" s="26">
        <f>1241323.82-11.23</f>
        <v>1241312.5900000001</v>
      </c>
      <c r="E54" s="26">
        <f>(2092411.046-1571191.397)-56.32</f>
        <v>521163.32899999997</v>
      </c>
      <c r="F54" s="26">
        <f>1571191.4-2550859.62+82583.25</f>
        <v>-897084.9700000002</v>
      </c>
      <c r="G54" s="26">
        <v>-1004065.219</v>
      </c>
      <c r="H54" s="26">
        <v>0</v>
      </c>
      <c r="I54" s="26">
        <v>3498475.2030000002</v>
      </c>
      <c r="J54" s="26"/>
      <c r="K54" s="26"/>
      <c r="L54" s="26"/>
      <c r="M54" s="154"/>
      <c r="N54" s="161" t="s">
        <v>114</v>
      </c>
      <c r="O54" s="78" t="s">
        <v>115</v>
      </c>
      <c r="P54" s="22">
        <v>5026902.0999999996</v>
      </c>
      <c r="Q54" s="22">
        <v>2871618.8089999999</v>
      </c>
      <c r="R54" s="22">
        <v>2650889.39</v>
      </c>
      <c r="S54" s="22">
        <v>3459456.3289999999</v>
      </c>
      <c r="T54" s="22">
        <v>3083585.47</v>
      </c>
      <c r="U54" s="22">
        <v>1944340.4580000001</v>
      </c>
      <c r="V54" s="22">
        <v>2172072.4</v>
      </c>
      <c r="W54" s="22">
        <v>2165562.6</v>
      </c>
      <c r="X54" s="22">
        <v>2121889.7570000002</v>
      </c>
      <c r="Y54" s="22">
        <v>111.6</v>
      </c>
      <c r="Z54" s="22">
        <v>2139847.8820000002</v>
      </c>
      <c r="AA54" s="1"/>
      <c r="AB54" s="1"/>
      <c r="AE54" s="101">
        <v>3044024.63</v>
      </c>
      <c r="AF54" s="48">
        <f>T55-AE54</f>
        <v>0</v>
      </c>
    </row>
    <row r="55" spans="1:56" ht="65.25" customHeight="1" x14ac:dyDescent="0.25">
      <c r="A55" s="76" t="s">
        <v>117</v>
      </c>
      <c r="B55" s="30">
        <v>-4861872.2</v>
      </c>
      <c r="C55" s="30">
        <v>-7702677.79</v>
      </c>
      <c r="D55" s="26">
        <v>-12399161.029999999</v>
      </c>
      <c r="E55" s="26">
        <f>-15097841.64</f>
        <v>-15097841.640000001</v>
      </c>
      <c r="F55" s="26">
        <v>-15693592.65</v>
      </c>
      <c r="G55" s="26">
        <v>-12825902.768999999</v>
      </c>
      <c r="H55" s="26">
        <v>-11011827.225</v>
      </c>
      <c r="I55" s="26">
        <v>-16534261.092</v>
      </c>
      <c r="J55" s="26">
        <v>-14739568.047</v>
      </c>
      <c r="K55" s="26"/>
      <c r="L55" s="26">
        <v>-13503923.536</v>
      </c>
      <c r="M55" s="154"/>
      <c r="N55" s="161"/>
      <c r="O55" s="81" t="s">
        <v>116</v>
      </c>
      <c r="P55" s="35">
        <f>P54-17253.1</f>
        <v>5009649</v>
      </c>
      <c r="Q55" s="35">
        <v>2799625.6919999998</v>
      </c>
      <c r="R55" s="35">
        <f>2606534.68+450.47</f>
        <v>2606985.1500000004</v>
      </c>
      <c r="S55" s="35">
        <f>3396594.497-2728.82</f>
        <v>3393865.6770000001</v>
      </c>
      <c r="T55" s="35">
        <f>314984.52+T54-350963.09-3582.27</f>
        <v>3044024.6300000004</v>
      </c>
      <c r="U55" s="35">
        <v>1901398.8790000002</v>
      </c>
      <c r="V55" s="35">
        <v>2172072.4</v>
      </c>
      <c r="W55" s="35">
        <v>2165562.6</v>
      </c>
      <c r="X55" s="35">
        <v>2121889.7570000002</v>
      </c>
      <c r="Y55" s="35">
        <v>111.6</v>
      </c>
      <c r="Z55" s="35">
        <v>2139847.8820000002</v>
      </c>
      <c r="AA55" s="1"/>
      <c r="AB55" s="1"/>
    </row>
    <row r="56" spans="1:56" ht="22.5" x14ac:dyDescent="0.25">
      <c r="A56" s="109"/>
      <c r="B56" s="105"/>
      <c r="C56" s="105"/>
      <c r="D56" s="106"/>
      <c r="E56" s="106"/>
      <c r="F56" s="106"/>
      <c r="G56" s="107"/>
      <c r="H56" s="112"/>
      <c r="I56" s="112"/>
      <c r="J56" s="112"/>
      <c r="K56" s="112"/>
      <c r="L56" s="112"/>
      <c r="M56" s="154"/>
      <c r="N56" s="161"/>
      <c r="O56" s="111" t="s">
        <v>122</v>
      </c>
      <c r="P56" s="103">
        <f>P4+P26+P38+P49+P54+38.7</f>
        <v>5995197.3959799996</v>
      </c>
      <c r="Q56" s="103">
        <f>Q4+Q26+Q38+Q49+Q54+119.054-0.03</f>
        <v>4558751.9319999991</v>
      </c>
      <c r="R56" s="103" t="e">
        <f>R4+R26+R38+R49+R54+#REF!+149.01</f>
        <v>#REF!</v>
      </c>
      <c r="S56" s="103" t="e">
        <f>S4+S26+S38+S49+S54+#REF!+0.025+28.778+300.157-33.972+0.01</f>
        <v>#REF!</v>
      </c>
      <c r="T56" s="103" t="e">
        <f>T4+T26+T38+T49+T54+#REF!-279.2+18.1+0.01</f>
        <v>#REF!</v>
      </c>
      <c r="U56" s="103">
        <v>4998055.2180000003</v>
      </c>
      <c r="V56" s="103">
        <v>5463407.5</v>
      </c>
      <c r="W56" s="103">
        <v>6094753.8600000003</v>
      </c>
      <c r="X56" s="103">
        <v>6253031.8570000008</v>
      </c>
      <c r="Y56" s="103">
        <v>76712.400000000009</v>
      </c>
      <c r="Z56" s="103">
        <v>6493492.9819999998</v>
      </c>
      <c r="AA56" s="1"/>
      <c r="AB56" s="1"/>
      <c r="AE56" s="36">
        <f>21007753.53+27865.64</f>
        <v>21035619.170000002</v>
      </c>
      <c r="AF56" t="s">
        <v>125</v>
      </c>
      <c r="AG56" s="48" t="e">
        <f>AE56-T57</f>
        <v>#REF!</v>
      </c>
      <c r="AH56" s="48"/>
      <c r="AP56" s="48"/>
      <c r="BC56" s="48">
        <f>15897926.725-X57</f>
        <v>-2793370.8950000014</v>
      </c>
      <c r="BD56" s="48">
        <f>BC56+X49</f>
        <v>-555832.79500000132</v>
      </c>
    </row>
    <row r="57" spans="1:56" ht="22.5" x14ac:dyDescent="0.25">
      <c r="A57" s="114"/>
      <c r="B57" s="115"/>
      <c r="C57" s="116"/>
      <c r="D57" s="106"/>
      <c r="E57" s="106"/>
      <c r="F57" s="106"/>
      <c r="G57" s="107"/>
      <c r="H57" s="36"/>
      <c r="I57" s="36"/>
      <c r="J57" s="36"/>
      <c r="K57" s="36"/>
      <c r="L57" s="36"/>
      <c r="M57" s="154"/>
      <c r="N57" s="161"/>
      <c r="O57" s="113" t="s">
        <v>124</v>
      </c>
      <c r="P57" s="74">
        <f>P8+P32+P42+P50+P55</f>
        <v>8609845.5999999996</v>
      </c>
      <c r="Q57" s="74">
        <f>Q8+Q32+Q42+Q50+Q55+453.536</f>
        <v>10917534.300500002</v>
      </c>
      <c r="R57" s="74" t="e">
        <f>R8+R32+R42+R50+R55+#REF!</f>
        <v>#REF!</v>
      </c>
      <c r="S57" s="74" t="e">
        <f>S8+S32+S42+S50+S55+#REF!+8046.266-2294.738</f>
        <v>#REF!</v>
      </c>
      <c r="T57" s="74" t="e">
        <f>T8+T32+T42+T50+T55+#REF!+85.43+1106.73+0.01</f>
        <v>#REF!</v>
      </c>
      <c r="U57" s="74">
        <v>18568064.548999999</v>
      </c>
      <c r="V57" s="74">
        <v>13801093.125</v>
      </c>
      <c r="W57" s="74">
        <v>27818533.651000004</v>
      </c>
      <c r="X57" s="74">
        <v>18691297.620000001</v>
      </c>
      <c r="Y57" s="74">
        <v>-16973.905000000166</v>
      </c>
      <c r="Z57" s="74">
        <v>18014475.833999999</v>
      </c>
      <c r="AA57" s="1"/>
      <c r="AB57" s="1"/>
    </row>
    <row r="58" spans="1:56" ht="22.5" x14ac:dyDescent="0.25">
      <c r="A58" s="162"/>
      <c r="B58" s="162"/>
      <c r="C58" s="162"/>
      <c r="D58" s="162"/>
      <c r="E58" s="162"/>
      <c r="F58" s="148"/>
      <c r="G58" s="119"/>
      <c r="H58" s="112"/>
      <c r="I58" s="112"/>
      <c r="J58" s="112"/>
      <c r="K58" s="112"/>
      <c r="L58" s="112"/>
      <c r="M58" s="154"/>
      <c r="N58" s="161"/>
      <c r="O58" s="117" t="s">
        <v>110</v>
      </c>
      <c r="P58" s="98">
        <f t="shared" ref="P58:T58" si="26">P56-P57</f>
        <v>-2614648.2040200001</v>
      </c>
      <c r="Q58" s="98">
        <f t="shared" si="26"/>
        <v>-6358782.3685000027</v>
      </c>
      <c r="R58" s="98" t="e">
        <f t="shared" si="26"/>
        <v>#REF!</v>
      </c>
      <c r="S58" s="98" t="e">
        <f t="shared" si="26"/>
        <v>#REF!</v>
      </c>
      <c r="T58" s="98" t="e">
        <f t="shared" si="26"/>
        <v>#REF!</v>
      </c>
      <c r="U58" s="98">
        <v>-13570009.330999998</v>
      </c>
      <c r="V58" s="98">
        <v>-8337685.625</v>
      </c>
      <c r="W58" s="98">
        <v>-21723779.791000005</v>
      </c>
      <c r="X58" s="98">
        <v>-12078265.763</v>
      </c>
      <c r="Y58" s="98">
        <v>453686.30500000017</v>
      </c>
      <c r="Z58" s="98">
        <v>-11520982.851999998</v>
      </c>
      <c r="AA58" s="1"/>
      <c r="AB58" s="1"/>
    </row>
    <row r="59" spans="1:56" ht="22.5" x14ac:dyDescent="0.25">
      <c r="A59" s="148"/>
      <c r="B59" s="148"/>
      <c r="C59" s="148"/>
      <c r="D59" s="148"/>
      <c r="E59" s="148"/>
      <c r="F59" s="148"/>
      <c r="G59" s="119"/>
      <c r="H59" s="112"/>
      <c r="I59" s="112"/>
      <c r="J59" s="112"/>
      <c r="K59" s="112"/>
      <c r="L59" s="112"/>
      <c r="M59" s="154"/>
      <c r="N59" s="161"/>
      <c r="O59" s="117" t="s">
        <v>112</v>
      </c>
      <c r="P59" s="98"/>
      <c r="Q59" s="98"/>
      <c r="R59" s="98"/>
      <c r="S59" s="98"/>
      <c r="T59" s="98"/>
      <c r="U59" s="98">
        <v>12805.323</v>
      </c>
      <c r="V59" s="98">
        <v>300</v>
      </c>
      <c r="W59" s="98">
        <v>300</v>
      </c>
      <c r="X59" s="98">
        <v>240</v>
      </c>
      <c r="Y59" s="98"/>
      <c r="Z59" s="98">
        <v>240</v>
      </c>
      <c r="AA59" s="121">
        <v>615008.326</v>
      </c>
      <c r="AB59" s="1" t="s">
        <v>126</v>
      </c>
    </row>
    <row r="60" spans="1:56" ht="22.5" x14ac:dyDescent="0.25">
      <c r="A60" s="122"/>
      <c r="B60" s="123"/>
      <c r="C60" s="124"/>
      <c r="D60" s="106"/>
      <c r="E60" s="106"/>
      <c r="F60" s="106"/>
      <c r="G60" s="107"/>
      <c r="H60" s="10"/>
      <c r="I60" s="10"/>
      <c r="J60" s="10"/>
      <c r="K60" s="10"/>
      <c r="L60" s="10"/>
      <c r="M60" s="154"/>
      <c r="N60" s="161"/>
      <c r="O60" s="117" t="s">
        <v>113</v>
      </c>
      <c r="P60" s="98">
        <f>P61+P62+P63</f>
        <v>2614648.2000000002</v>
      </c>
      <c r="Q60" s="98">
        <f>Q61+Q62+Q63</f>
        <v>6358782.3729999997</v>
      </c>
      <c r="R60" s="98">
        <f>R61+R62+R63</f>
        <v>11913560.959999999</v>
      </c>
      <c r="S60" s="98">
        <f>S61+S62+S63</f>
        <v>15647258.295</v>
      </c>
      <c r="T60" s="98">
        <f>T61+T62+T63+0.01</f>
        <v>15717306.870000001</v>
      </c>
      <c r="U60" s="120">
        <v>13557204.006999999</v>
      </c>
      <c r="V60" s="98">
        <v>8337385.625</v>
      </c>
      <c r="W60" s="98">
        <v>21723479.789000001</v>
      </c>
      <c r="X60" s="98">
        <v>12078025.763</v>
      </c>
      <c r="Y60" s="98">
        <v>678361.59600000002</v>
      </c>
      <c r="Z60" s="98">
        <v>11520742.852</v>
      </c>
      <c r="AA60" s="36">
        <f>S61-AA59</f>
        <v>-65591.670999999973</v>
      </c>
      <c r="AB60" s="1"/>
      <c r="AE60" s="48">
        <f>T23+T37+T48+T53+T54-T55-90156.98</f>
        <v>95913.419999999911</v>
      </c>
      <c r="AF60" s="48">
        <f>T61-AE60</f>
        <v>-72199.209999999905</v>
      </c>
      <c r="AG60" t="s">
        <v>126</v>
      </c>
      <c r="AH60" t="s">
        <v>126</v>
      </c>
    </row>
    <row r="61" spans="1:56" ht="22.5" x14ac:dyDescent="0.25">
      <c r="A61" s="125"/>
      <c r="B61" s="125"/>
      <c r="C61" s="124"/>
      <c r="D61" s="106"/>
      <c r="E61" s="106"/>
      <c r="F61" s="106"/>
      <c r="G61" s="107"/>
      <c r="H61" s="10"/>
      <c r="I61" s="10"/>
      <c r="J61" s="10"/>
      <c r="K61" s="10"/>
      <c r="L61" s="10"/>
      <c r="M61" s="154"/>
      <c r="N61" s="161"/>
      <c r="O61" s="25" t="s">
        <v>70</v>
      </c>
      <c r="P61" s="30">
        <f>P23+P37+P48+P52+2503</f>
        <v>54113</v>
      </c>
      <c r="Q61" s="30">
        <f>Q23+Q37+Q48+Q52-(Q54-Q55)+334.48-207222.11-2172.72</f>
        <v>-395232.41700000002</v>
      </c>
      <c r="R61" s="30">
        <f>R23+R37+R48+R52-1954.27+42549.45-267932.69-42097.98</f>
        <v>-485600.06999999995</v>
      </c>
      <c r="S61" s="30">
        <f>S23+S37+S48+S52-266.185+5722.738-0.01-65590.664+402813.58+10993</f>
        <v>549416.65500000003</v>
      </c>
      <c r="T61" s="30">
        <f>113871.19-90156.98</f>
        <v>23714.210000000006</v>
      </c>
      <c r="U61" s="30">
        <v>-38698.762000000046</v>
      </c>
      <c r="V61" s="30">
        <v>0</v>
      </c>
      <c r="W61" s="30">
        <v>155976.67000000001</v>
      </c>
      <c r="X61" s="30">
        <v>0</v>
      </c>
      <c r="Y61" s="30">
        <v>0</v>
      </c>
      <c r="Z61" s="30">
        <v>0</v>
      </c>
      <c r="AA61" s="1"/>
      <c r="AB61" s="1"/>
    </row>
    <row r="62" spans="1:56" ht="40.15" customHeight="1" x14ac:dyDescent="0.25">
      <c r="A62" s="127" t="s">
        <v>127</v>
      </c>
      <c r="B62" s="22">
        <f>B4+P56</f>
        <v>31653961.895980004</v>
      </c>
      <c r="C62" s="22">
        <f>C4+Q56</f>
        <v>38687164.431999996</v>
      </c>
      <c r="D62" s="22" t="e">
        <f>D4+R56</f>
        <v>#REF!</v>
      </c>
      <c r="E62" s="22" t="e">
        <f>E4+S56</f>
        <v>#REF!</v>
      </c>
      <c r="F62" s="22" t="e">
        <f>F4+T56</f>
        <v>#REF!</v>
      </c>
      <c r="G62" s="22">
        <v>58121754.123000003</v>
      </c>
      <c r="H62" s="22">
        <v>60391952.299999997</v>
      </c>
      <c r="I62" s="22">
        <v>66278694.622999996</v>
      </c>
      <c r="J62" s="22">
        <v>65546451.357000001</v>
      </c>
      <c r="K62" s="22">
        <v>2573475.1</v>
      </c>
      <c r="L62" s="22">
        <v>68942106.582000002</v>
      </c>
      <c r="M62" s="154"/>
      <c r="N62" s="161"/>
      <c r="O62" s="79" t="s">
        <v>117</v>
      </c>
      <c r="P62" s="26">
        <f t="shared" ref="P62:T63" si="27">P24</f>
        <v>4861872.2</v>
      </c>
      <c r="Q62" s="26">
        <f t="shared" si="27"/>
        <v>7702677.79</v>
      </c>
      <c r="R62" s="26">
        <f t="shared" si="27"/>
        <v>12399161.029999999</v>
      </c>
      <c r="S62" s="26">
        <f t="shared" si="27"/>
        <v>15097841.640000001</v>
      </c>
      <c r="T62" s="26">
        <f t="shared" si="27"/>
        <v>15693592.65</v>
      </c>
      <c r="U62" s="26">
        <v>12825902.768999999</v>
      </c>
      <c r="V62" s="26">
        <v>11011827.225</v>
      </c>
      <c r="W62" s="26">
        <v>16534261.092</v>
      </c>
      <c r="X62" s="26">
        <v>14739568.047</v>
      </c>
      <c r="Y62" s="26">
        <v>0</v>
      </c>
      <c r="Z62" s="26">
        <v>13503923.536</v>
      </c>
      <c r="AA62" s="1"/>
      <c r="AB62" s="1"/>
    </row>
    <row r="63" spans="1:56" ht="28.9" customHeight="1" x14ac:dyDescent="0.25">
      <c r="A63" s="34" t="s">
        <v>128</v>
      </c>
      <c r="B63" s="74">
        <f>B22+P57</f>
        <v>28010037.999999993</v>
      </c>
      <c r="C63" s="74">
        <f>C22+Q57</f>
        <v>33572852.9005</v>
      </c>
      <c r="D63" s="74" t="e">
        <f>D22+R57</f>
        <v>#REF!</v>
      </c>
      <c r="E63" s="74" t="e">
        <f>E22+S57</f>
        <v>#REF!</v>
      </c>
      <c r="F63" s="74" t="e">
        <f>F22-F52+T57</f>
        <v>#REF!</v>
      </c>
      <c r="G63" s="74">
        <v>57848990.145999998</v>
      </c>
      <c r="H63" s="74">
        <v>57717810.699999996</v>
      </c>
      <c r="I63" s="74">
        <v>75032020.456</v>
      </c>
      <c r="J63" s="144">
        <v>65679177.357999995</v>
      </c>
      <c r="K63" s="144">
        <v>556503.22300000011</v>
      </c>
      <c r="L63" s="74">
        <v>66977444.405999996</v>
      </c>
      <c r="M63" s="154"/>
      <c r="N63" s="161"/>
      <c r="O63" s="76" t="str">
        <f>O25</f>
        <v>Фінансування за рахунок позик банківських установ</v>
      </c>
      <c r="P63" s="26">
        <f t="shared" si="27"/>
        <v>-2301337</v>
      </c>
      <c r="Q63" s="26">
        <f t="shared" si="27"/>
        <v>-948663</v>
      </c>
      <c r="R63" s="26">
        <f t="shared" si="27"/>
        <v>0</v>
      </c>
      <c r="S63" s="26">
        <f t="shared" si="27"/>
        <v>0</v>
      </c>
      <c r="T63" s="26">
        <f t="shared" si="27"/>
        <v>0</v>
      </c>
      <c r="U63" s="26">
        <v>770000</v>
      </c>
      <c r="V63" s="26">
        <v>-2674441.6</v>
      </c>
      <c r="W63" s="26">
        <v>5033242.0269999998</v>
      </c>
      <c r="X63" s="26">
        <v>-2661542.284</v>
      </c>
      <c r="Y63" s="26">
        <v>678361.59600000002</v>
      </c>
      <c r="Z63" s="26">
        <v>-1983180.6839999999</v>
      </c>
      <c r="AA63" s="1"/>
      <c r="AB63" s="1"/>
    </row>
    <row r="64" spans="1:56" ht="22.5" x14ac:dyDescent="0.25">
      <c r="A64" s="122"/>
      <c r="B64" s="133"/>
      <c r="C64" s="133"/>
      <c r="D64" s="133"/>
      <c r="E64" s="133"/>
      <c r="F64" s="133"/>
      <c r="G64" s="134"/>
      <c r="H64" s="10"/>
      <c r="I64" s="10"/>
      <c r="J64" s="143">
        <f>J62-J63</f>
        <v>-132726.00099999458</v>
      </c>
      <c r="K64" s="143"/>
      <c r="L64" s="143"/>
      <c r="M64" s="122"/>
      <c r="N64" s="149"/>
      <c r="O64" s="131" t="s">
        <v>129</v>
      </c>
      <c r="P64" s="132">
        <f t="shared" ref="P64:T64" si="28">P57</f>
        <v>8609845.5999999996</v>
      </c>
      <c r="Q64" s="132">
        <f t="shared" si="28"/>
        <v>10917534.300500002</v>
      </c>
      <c r="R64" s="132" t="e">
        <f t="shared" si="28"/>
        <v>#REF!</v>
      </c>
      <c r="S64" s="132" t="e">
        <f t="shared" si="28"/>
        <v>#REF!</v>
      </c>
      <c r="T64" s="132" t="e">
        <f t="shared" si="28"/>
        <v>#REF!</v>
      </c>
      <c r="U64" s="132">
        <v>18568064.548999999</v>
      </c>
      <c r="V64" s="132">
        <v>13801093.125</v>
      </c>
      <c r="W64" s="132">
        <v>27818533.651000004</v>
      </c>
      <c r="X64" s="132">
        <v>18691297.620000001</v>
      </c>
      <c r="Y64" s="132">
        <v>-16973.905000000166</v>
      </c>
      <c r="Z64" s="132">
        <v>18014475.833999999</v>
      </c>
    </row>
    <row r="65" spans="1:26" ht="22.5" x14ac:dyDescent="0.25">
      <c r="A65" s="122"/>
      <c r="B65" s="136"/>
      <c r="C65" s="124"/>
      <c r="D65" s="106"/>
      <c r="E65" s="106"/>
      <c r="F65" s="106"/>
      <c r="G65" s="107"/>
      <c r="H65" s="137"/>
      <c r="I65" s="137"/>
      <c r="J65" s="137"/>
      <c r="K65" s="137"/>
      <c r="L65" s="137"/>
      <c r="M65" s="122"/>
      <c r="N65" s="12"/>
      <c r="O65" s="1"/>
      <c r="P65" s="45"/>
      <c r="Q65" s="135"/>
      <c r="R65" s="1"/>
      <c r="S65" s="1"/>
      <c r="T65" s="1"/>
      <c r="U65" s="36"/>
      <c r="V65" s="1"/>
      <c r="W65" s="1"/>
      <c r="X65" s="1"/>
      <c r="Y65" s="1"/>
      <c r="Z65" s="1"/>
    </row>
    <row r="66" spans="1:26" ht="22.5" x14ac:dyDescent="0.25">
      <c r="A66" s="122"/>
      <c r="B66" s="138"/>
      <c r="C66" s="124"/>
      <c r="D66" s="106"/>
      <c r="E66" s="106"/>
      <c r="F66" s="106"/>
      <c r="G66" s="107"/>
      <c r="H66" s="112">
        <f>H63-56575192.571</f>
        <v>1142618.1289999932</v>
      </c>
      <c r="I66" s="112"/>
      <c r="J66" s="112"/>
      <c r="K66" s="112"/>
      <c r="L66" s="112"/>
      <c r="M66" s="122"/>
      <c r="N66" s="12"/>
      <c r="O66" s="1"/>
      <c r="P66" s="45"/>
      <c r="Q66" s="135"/>
      <c r="R66" s="1"/>
      <c r="S66" s="36"/>
      <c r="T66" s="36"/>
      <c r="U66" s="36"/>
      <c r="V66" s="36"/>
      <c r="W66" s="36"/>
      <c r="X66" s="36"/>
      <c r="Y66" s="36"/>
      <c r="Z66" s="36"/>
    </row>
    <row r="67" spans="1:26" ht="22.5" x14ac:dyDescent="0.25">
      <c r="A67" s="122"/>
      <c r="B67" s="139"/>
      <c r="C67" s="124"/>
      <c r="D67" s="106"/>
      <c r="E67" s="106"/>
      <c r="F67" s="106"/>
      <c r="G67" s="107"/>
      <c r="H67" s="112"/>
      <c r="I67" s="112"/>
      <c r="J67" s="112"/>
      <c r="K67" s="112"/>
      <c r="L67" s="112"/>
      <c r="M67" s="1"/>
      <c r="N67" s="12"/>
      <c r="O67" s="1"/>
      <c r="P67" s="45"/>
      <c r="Q67" s="135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x14ac:dyDescent="0.25">
      <c r="A68" s="1"/>
      <c r="B68" s="139"/>
      <c r="C68" s="139"/>
      <c r="D68" s="139"/>
      <c r="E68" s="139"/>
      <c r="F68" s="139"/>
      <c r="G68" s="140"/>
      <c r="H68" s="112"/>
      <c r="I68" s="112"/>
      <c r="J68" s="112"/>
      <c r="K68" s="112"/>
      <c r="L68" s="112"/>
      <c r="M68" s="1"/>
      <c r="N68" s="12"/>
      <c r="O68" s="1"/>
      <c r="P68" s="57"/>
      <c r="Q68" s="135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x14ac:dyDescent="0.25">
      <c r="A69" s="1"/>
      <c r="B69" s="139"/>
      <c r="C69" s="139"/>
      <c r="D69" s="139"/>
      <c r="E69" s="139"/>
      <c r="F69" s="139"/>
      <c r="G69" s="140"/>
      <c r="H69" s="112"/>
      <c r="I69" s="112"/>
      <c r="J69" s="112"/>
      <c r="K69" s="112"/>
      <c r="L69" s="112"/>
      <c r="M69" s="1"/>
      <c r="N69" s="12"/>
      <c r="O69" s="1"/>
      <c r="P69" s="45"/>
      <c r="Q69" s="135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8.75" x14ac:dyDescent="0.25">
      <c r="A70" s="1"/>
      <c r="B70" s="139"/>
      <c r="C70" s="139"/>
      <c r="D70" s="139"/>
      <c r="E70" s="139"/>
      <c r="F70" s="139"/>
      <c r="G70" s="140"/>
      <c r="H70" s="112"/>
      <c r="I70" s="112"/>
      <c r="J70" s="112"/>
      <c r="K70" s="112"/>
      <c r="L70" s="112"/>
      <c r="M70" s="1"/>
      <c r="N70" s="12"/>
      <c r="O70" s="1"/>
      <c r="P70" s="45"/>
      <c r="Q70" s="135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x14ac:dyDescent="0.25">
      <c r="A71" s="1"/>
      <c r="B71" s="139"/>
      <c r="C71" s="139"/>
      <c r="D71" s="139"/>
      <c r="E71" s="139"/>
      <c r="F71" s="139"/>
      <c r="G71" s="140"/>
      <c r="H71" s="112"/>
      <c r="I71" s="112"/>
      <c r="J71" s="112"/>
      <c r="K71" s="112"/>
      <c r="L71" s="112"/>
      <c r="M71" s="1"/>
      <c r="N71" s="12"/>
      <c r="O71" s="1"/>
      <c r="P71" s="45"/>
      <c r="Q71" s="135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x14ac:dyDescent="0.25">
      <c r="A72" s="1"/>
      <c r="B72" s="139"/>
      <c r="C72" s="139"/>
      <c r="D72" s="139"/>
      <c r="E72" s="139"/>
      <c r="F72" s="139"/>
      <c r="G72" s="140"/>
      <c r="H72" s="112"/>
      <c r="I72" s="112"/>
      <c r="J72" s="112"/>
      <c r="K72" s="112"/>
      <c r="L72" s="112"/>
      <c r="M72" s="1"/>
      <c r="N72" s="12"/>
      <c r="O72" s="1"/>
      <c r="P72" s="45"/>
      <c r="Q72" s="135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x14ac:dyDescent="0.25">
      <c r="A73" s="1"/>
      <c r="B73" s="139"/>
      <c r="C73" s="139"/>
      <c r="D73" s="139"/>
      <c r="E73" s="139"/>
      <c r="F73" s="139"/>
      <c r="G73" s="140"/>
      <c r="H73" s="112"/>
      <c r="I73" s="112"/>
      <c r="J73" s="112"/>
      <c r="K73" s="112"/>
      <c r="L73" s="112"/>
      <c r="M73" s="1"/>
      <c r="N73" s="12"/>
      <c r="O73" s="1"/>
      <c r="P73" s="45"/>
      <c r="Q73" s="135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x14ac:dyDescent="0.25">
      <c r="B74" s="139"/>
      <c r="C74" s="139"/>
      <c r="D74" s="139"/>
      <c r="E74" s="139"/>
      <c r="F74" s="139"/>
      <c r="G74" s="140"/>
      <c r="H74" s="112"/>
      <c r="I74" s="112"/>
      <c r="J74" s="112"/>
      <c r="K74" s="112"/>
      <c r="L74" s="112"/>
      <c r="O74" s="1"/>
      <c r="P74" s="45"/>
      <c r="Q74" s="135"/>
      <c r="R74" s="1"/>
      <c r="S74" s="1"/>
      <c r="T74" s="36"/>
      <c r="U74" s="36"/>
      <c r="V74" s="36"/>
      <c r="W74" s="36"/>
      <c r="X74" s="36"/>
      <c r="Y74" s="36"/>
      <c r="Z74" s="36"/>
    </row>
    <row r="75" spans="1:26" ht="18.75" x14ac:dyDescent="0.25">
      <c r="A75" s="1"/>
      <c r="B75" s="139"/>
      <c r="C75" s="139"/>
      <c r="D75" s="139"/>
      <c r="E75" s="139"/>
      <c r="F75" s="139"/>
      <c r="G75" s="140"/>
      <c r="O75" s="1"/>
      <c r="P75" s="45"/>
      <c r="Q75" s="135"/>
      <c r="R75" s="1"/>
      <c r="S75" s="1"/>
      <c r="T75" s="1"/>
      <c r="U75" s="1"/>
      <c r="V75" s="1"/>
      <c r="W75" s="1"/>
      <c r="X75" s="1"/>
      <c r="Y75" s="1"/>
      <c r="Z75" s="1"/>
    </row>
  </sheetData>
  <mergeCells count="15">
    <mergeCell ref="A1:Z1"/>
    <mergeCell ref="A2:B2"/>
    <mergeCell ref="N2:R2"/>
    <mergeCell ref="AU3:AX3"/>
    <mergeCell ref="N4:N25"/>
    <mergeCell ref="M5:M15"/>
    <mergeCell ref="AB8:AD8"/>
    <mergeCell ref="AE8:AS8"/>
    <mergeCell ref="M17:M63"/>
    <mergeCell ref="N26:N37"/>
    <mergeCell ref="N38:N48"/>
    <mergeCell ref="N49:N53"/>
    <mergeCell ref="N54:N55"/>
    <mergeCell ref="N56:N63"/>
    <mergeCell ref="A58:E58"/>
  </mergeCells>
  <printOptions horizontalCentered="1"/>
  <pageMargins left="0.15748031496062992" right="0.15748031496062992" top="0" bottom="0.11811023622047245" header="0.15748031496062992" footer="0.15748031496062992"/>
  <pageSetup paperSize="9" scale="3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2020-2022 проект презентація</vt:lpstr>
      <vt:lpstr>2020-2022 рішення</vt:lpstr>
      <vt:lpstr>'2020-2022 проект презентація'!Область_друку</vt:lpstr>
      <vt:lpstr>'2020-2022 рішення'!Область_друку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bevzenko</dc:creator>
  <cp:lastModifiedBy>Оксана В. Вем</cp:lastModifiedBy>
  <cp:lastPrinted>2022-01-14T09:38:17Z</cp:lastPrinted>
  <dcterms:created xsi:type="dcterms:W3CDTF">2021-11-02T13:57:17Z</dcterms:created>
  <dcterms:modified xsi:type="dcterms:W3CDTF">2022-01-17T06:16:36Z</dcterms:modified>
</cp:coreProperties>
</file>