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em\Downloads\"/>
    </mc:Choice>
  </mc:AlternateContent>
  <bookViews>
    <workbookView xWindow="0" yWindow="90" windowWidth="22980" windowHeight="9030"/>
  </bookViews>
  <sheets>
    <sheet name="2021-2023 (факт-зміни2)" sheetId="7" r:id="rId1"/>
  </sheets>
  <definedNames>
    <definedName name="_xlnm.Print_Area" localSheetId="0">'2021-2023 (факт-зміни2)'!$A$1:$BU$70</definedName>
  </definedNames>
  <calcPr calcId="152511"/>
</workbook>
</file>

<file path=xl/calcChain.xml><?xml version="1.0" encoding="utf-8"?>
<calcChain xmlns="http://schemas.openxmlformats.org/spreadsheetml/2006/main">
  <c r="P48" i="7" l="1"/>
  <c r="P47" i="7" s="1"/>
  <c r="AA69" i="7"/>
  <c r="BU68" i="7"/>
  <c r="BT68" i="7"/>
  <c r="BS68" i="7"/>
  <c r="AD68" i="7"/>
  <c r="AC68" i="7"/>
  <c r="AB68" i="7"/>
  <c r="AA68" i="7"/>
  <c r="Y68" i="7"/>
  <c r="X68" i="7"/>
  <c r="W68" i="7"/>
  <c r="V68" i="7"/>
  <c r="U68" i="7"/>
  <c r="T68" i="7"/>
  <c r="S68" i="7"/>
  <c r="AC67" i="7"/>
  <c r="AD66" i="7"/>
  <c r="AC66" i="7"/>
  <c r="AC65" i="7" s="1"/>
  <c r="AB66" i="7"/>
  <c r="Z66" i="7"/>
  <c r="Y66" i="7"/>
  <c r="X66" i="7"/>
  <c r="BR65" i="7"/>
  <c r="AD64" i="7"/>
  <c r="AI61" i="7"/>
  <c r="BU60" i="7"/>
  <c r="AD58" i="7"/>
  <c r="AA58" i="7"/>
  <c r="X58" i="7"/>
  <c r="W58" i="7"/>
  <c r="V58" i="7"/>
  <c r="AD57" i="7"/>
  <c r="BU56" i="7"/>
  <c r="BT56" i="7"/>
  <c r="BS56" i="7"/>
  <c r="Z56" i="7"/>
  <c r="Y56" i="7"/>
  <c r="X56" i="7"/>
  <c r="AI54" i="7" s="1"/>
  <c r="W56" i="7"/>
  <c r="V56" i="7"/>
  <c r="T56" i="7"/>
  <c r="AD55" i="7"/>
  <c r="AC55" i="7"/>
  <c r="AC56" i="7" s="1"/>
  <c r="AB55" i="7"/>
  <c r="E55" i="7"/>
  <c r="G54" i="7"/>
  <c r="G53" i="7" s="1"/>
  <c r="F54" i="7"/>
  <c r="E54" i="7"/>
  <c r="E53" i="7" s="1"/>
  <c r="D54" i="7"/>
  <c r="D53" i="7" s="1"/>
  <c r="C54" i="7"/>
  <c r="C53" i="7" s="1"/>
  <c r="B54" i="7"/>
  <c r="BS53" i="7"/>
  <c r="BQ53" i="7"/>
  <c r="BP53" i="7"/>
  <c r="BO53" i="7"/>
  <c r="BN53" i="7"/>
  <c r="BM53" i="7"/>
  <c r="BL53" i="7"/>
  <c r="BK53" i="7"/>
  <c r="BJ53" i="7"/>
  <c r="BI53" i="7"/>
  <c r="BH53" i="7"/>
  <c r="BG53" i="7"/>
  <c r="BF53" i="7"/>
  <c r="BE53" i="7"/>
  <c r="BD53" i="7"/>
  <c r="BC53" i="7"/>
  <c r="BB53" i="7"/>
  <c r="BA53" i="7"/>
  <c r="AZ53" i="7"/>
  <c r="AY53" i="7"/>
  <c r="AX53" i="7"/>
  <c r="AW53" i="7"/>
  <c r="AV53" i="7"/>
  <c r="AU53" i="7"/>
  <c r="AT53" i="7"/>
  <c r="AS53" i="7"/>
  <c r="AR53" i="7"/>
  <c r="AQ53" i="7"/>
  <c r="AP53" i="7"/>
  <c r="AO53" i="7"/>
  <c r="AN53" i="7"/>
  <c r="AM53" i="7"/>
  <c r="AL53" i="7"/>
  <c r="AK53" i="7"/>
  <c r="AJ53" i="7"/>
  <c r="AI53" i="7"/>
  <c r="AH53" i="7"/>
  <c r="AG53" i="7"/>
  <c r="AF53" i="7"/>
  <c r="AE53" i="7"/>
  <c r="AA53" i="7"/>
  <c r="Z53" i="7"/>
  <c r="Y53" i="7"/>
  <c r="X53" i="7"/>
  <c r="W53" i="7"/>
  <c r="V53" i="7"/>
  <c r="V66" i="7" s="1"/>
  <c r="U53" i="7"/>
  <c r="U66" i="7" s="1"/>
  <c r="T53" i="7"/>
  <c r="T66" i="7" s="1"/>
  <c r="P53" i="7"/>
  <c r="O53" i="7"/>
  <c r="N53" i="7"/>
  <c r="M53" i="7"/>
  <c r="L53" i="7"/>
  <c r="K53" i="7"/>
  <c r="J53" i="7"/>
  <c r="I53" i="7"/>
  <c r="H53" i="7"/>
  <c r="F53" i="7"/>
  <c r="B53" i="7"/>
  <c r="AA52" i="7"/>
  <c r="X52" i="7"/>
  <c r="X51" i="7" s="1"/>
  <c r="W52" i="7"/>
  <c r="W51" i="7" s="1"/>
  <c r="U52" i="7"/>
  <c r="L52" i="7"/>
  <c r="K52" i="7"/>
  <c r="I52" i="7"/>
  <c r="BU51" i="7"/>
  <c r="BU53" i="7" s="1"/>
  <c r="BT51" i="7"/>
  <c r="BT53" i="7" s="1"/>
  <c r="BR51" i="7"/>
  <c r="BR53" i="7" s="1"/>
  <c r="AD51" i="7"/>
  <c r="AD53" i="7" s="1"/>
  <c r="AB51" i="7"/>
  <c r="Z51" i="7"/>
  <c r="Y51" i="7"/>
  <c r="V51" i="7"/>
  <c r="T51" i="7"/>
  <c r="AC50" i="7"/>
  <c r="AB50" i="7"/>
  <c r="AB53" i="7" s="1"/>
  <c r="X50" i="7"/>
  <c r="W50" i="7"/>
  <c r="W49" i="7"/>
  <c r="BU48" i="7"/>
  <c r="BT48" i="7"/>
  <c r="BS48" i="7"/>
  <c r="BR48" i="7"/>
  <c r="BQ48" i="7"/>
  <c r="BP48" i="7"/>
  <c r="BO48" i="7"/>
  <c r="BN48" i="7"/>
  <c r="BM48" i="7"/>
  <c r="BL48" i="7"/>
  <c r="BK48" i="7"/>
  <c r="BJ48" i="7"/>
  <c r="BI48" i="7"/>
  <c r="BH48" i="7"/>
  <c r="BG48" i="7"/>
  <c r="BF48" i="7"/>
  <c r="BE48" i="7"/>
  <c r="BD48" i="7"/>
  <c r="BC48" i="7"/>
  <c r="BB48" i="7"/>
  <c r="BA48" i="7"/>
  <c r="AZ48" i="7"/>
  <c r="AY48" i="7"/>
  <c r="AX48" i="7"/>
  <c r="AW48" i="7"/>
  <c r="AV48" i="7"/>
  <c r="AU48" i="7"/>
  <c r="AT48" i="7"/>
  <c r="AS48" i="7"/>
  <c r="AR48" i="7"/>
  <c r="AQ48" i="7"/>
  <c r="AP48" i="7"/>
  <c r="AO48" i="7"/>
  <c r="AN48" i="7"/>
  <c r="AM48" i="7"/>
  <c r="AL48" i="7"/>
  <c r="AK48" i="7"/>
  <c r="AJ48" i="7"/>
  <c r="AI48" i="7"/>
  <c r="AH48" i="7"/>
  <c r="AG48" i="7"/>
  <c r="AF48" i="7"/>
  <c r="AE48" i="7"/>
  <c r="AD48" i="7"/>
  <c r="AC48" i="7"/>
  <c r="AB48" i="7"/>
  <c r="AA48" i="7"/>
  <c r="Z48" i="7"/>
  <c r="Y48" i="7"/>
  <c r="W48" i="7"/>
  <c r="V48" i="7"/>
  <c r="U48" i="7"/>
  <c r="T48" i="7"/>
  <c r="BL47" i="7"/>
  <c r="AZ47" i="7"/>
  <c r="AN47" i="7"/>
  <c r="Z47" i="7"/>
  <c r="X47" i="7"/>
  <c r="O47" i="7"/>
  <c r="N47" i="7"/>
  <c r="L47" i="7"/>
  <c r="L22" i="7" s="1"/>
  <c r="K47" i="7"/>
  <c r="I47" i="7"/>
  <c r="H47" i="7"/>
  <c r="G47" i="7"/>
  <c r="F47" i="7"/>
  <c r="E47" i="7"/>
  <c r="D47" i="7"/>
  <c r="D22" i="7" s="1"/>
  <c r="C47" i="7"/>
  <c r="AD45" i="7"/>
  <c r="N45" i="7"/>
  <c r="K45" i="7"/>
  <c r="G45" i="7"/>
  <c r="F45" i="7"/>
  <c r="E45" i="7"/>
  <c r="D45" i="7"/>
  <c r="C45" i="7"/>
  <c r="BT44" i="7"/>
  <c r="BT43" i="7" s="1"/>
  <c r="BS44" i="7"/>
  <c r="BS43" i="7" s="1"/>
  <c r="BU43" i="7"/>
  <c r="BR43" i="7"/>
  <c r="BQ43" i="7"/>
  <c r="BP43" i="7"/>
  <c r="BO43" i="7"/>
  <c r="BN43" i="7"/>
  <c r="BM43" i="7"/>
  <c r="BL43" i="7"/>
  <c r="BK43" i="7"/>
  <c r="BJ43" i="7"/>
  <c r="BI43" i="7"/>
  <c r="BH43" i="7"/>
  <c r="BG43" i="7"/>
  <c r="BF43" i="7"/>
  <c r="BE43" i="7"/>
  <c r="BD43" i="7"/>
  <c r="BC43" i="7"/>
  <c r="BB43" i="7"/>
  <c r="BA43" i="7"/>
  <c r="AZ43" i="7"/>
  <c r="AY43" i="7"/>
  <c r="AX43" i="7"/>
  <c r="AW43" i="7"/>
  <c r="AV43" i="7"/>
  <c r="AU43" i="7"/>
  <c r="AT43" i="7"/>
  <c r="AS43" i="7"/>
  <c r="AR43" i="7"/>
  <c r="AQ43" i="7"/>
  <c r="AP43" i="7"/>
  <c r="AO43" i="7"/>
  <c r="AN43" i="7"/>
  <c r="AM43" i="7"/>
  <c r="AL43" i="7"/>
  <c r="AK43" i="7"/>
  <c r="AJ43" i="7"/>
  <c r="AI43" i="7"/>
  <c r="AH43" i="7"/>
  <c r="AG43" i="7"/>
  <c r="AF43" i="7"/>
  <c r="AE43" i="7"/>
  <c r="AC43" i="7"/>
  <c r="AA43" i="7"/>
  <c r="Z43" i="7"/>
  <c r="Y43" i="7"/>
  <c r="X43" i="7"/>
  <c r="W43" i="7"/>
  <c r="V43" i="7"/>
  <c r="U43" i="7"/>
  <c r="T43" i="7"/>
  <c r="L43" i="7"/>
  <c r="L41" i="7"/>
  <c r="B41" i="7"/>
  <c r="B22" i="7" s="1"/>
  <c r="BR40" i="7"/>
  <c r="BR39" i="7" s="1"/>
  <c r="BR47" i="7" s="1"/>
  <c r="AB40" i="7"/>
  <c r="AB44" i="7" s="1"/>
  <c r="X40" i="7"/>
  <c r="W40" i="7"/>
  <c r="U40" i="7"/>
  <c r="BU39" i="7"/>
  <c r="BT39" i="7"/>
  <c r="BS39" i="7"/>
  <c r="BQ39" i="7"/>
  <c r="BQ47" i="7" s="1"/>
  <c r="BP39" i="7"/>
  <c r="BP47" i="7" s="1"/>
  <c r="BO39" i="7"/>
  <c r="BO47" i="7" s="1"/>
  <c r="BN39" i="7"/>
  <c r="BN47" i="7" s="1"/>
  <c r="BM39" i="7"/>
  <c r="BM47" i="7" s="1"/>
  <c r="BL39" i="7"/>
  <c r="BK39" i="7"/>
  <c r="BK47" i="7" s="1"/>
  <c r="BJ39" i="7"/>
  <c r="BJ47" i="7" s="1"/>
  <c r="BI39" i="7"/>
  <c r="BI47" i="7" s="1"/>
  <c r="BH39" i="7"/>
  <c r="BH47" i="7" s="1"/>
  <c r="BG39" i="7"/>
  <c r="BG47" i="7" s="1"/>
  <c r="BF39" i="7"/>
  <c r="BF47" i="7" s="1"/>
  <c r="BE39" i="7"/>
  <c r="BE47" i="7" s="1"/>
  <c r="BD39" i="7"/>
  <c r="BD47" i="7" s="1"/>
  <c r="BC39" i="7"/>
  <c r="BC47" i="7" s="1"/>
  <c r="BB39" i="7"/>
  <c r="BB47" i="7" s="1"/>
  <c r="BA39" i="7"/>
  <c r="BA47" i="7" s="1"/>
  <c r="AZ39" i="7"/>
  <c r="AY39" i="7"/>
  <c r="AY47" i="7" s="1"/>
  <c r="AX39" i="7"/>
  <c r="AX47" i="7" s="1"/>
  <c r="AW39" i="7"/>
  <c r="AW47" i="7" s="1"/>
  <c r="AV39" i="7"/>
  <c r="AV47" i="7" s="1"/>
  <c r="AU39" i="7"/>
  <c r="AU47" i="7" s="1"/>
  <c r="AT39" i="7"/>
  <c r="AT47" i="7" s="1"/>
  <c r="AS39" i="7"/>
  <c r="AS47" i="7" s="1"/>
  <c r="AR39" i="7"/>
  <c r="AR47" i="7" s="1"/>
  <c r="AQ39" i="7"/>
  <c r="AQ47" i="7" s="1"/>
  <c r="AP39" i="7"/>
  <c r="AP47" i="7" s="1"/>
  <c r="AO39" i="7"/>
  <c r="AO47" i="7" s="1"/>
  <c r="AN39" i="7"/>
  <c r="AM39" i="7"/>
  <c r="AM47" i="7" s="1"/>
  <c r="AL39" i="7"/>
  <c r="AL47" i="7" s="1"/>
  <c r="AK39" i="7"/>
  <c r="AK47" i="7" s="1"/>
  <c r="AJ39" i="7"/>
  <c r="AJ47" i="7" s="1"/>
  <c r="AI39" i="7"/>
  <c r="AI47" i="7" s="1"/>
  <c r="AH39" i="7"/>
  <c r="AH47" i="7" s="1"/>
  <c r="AG39" i="7"/>
  <c r="AG47" i="7" s="1"/>
  <c r="AF39" i="7"/>
  <c r="AF47" i="7" s="1"/>
  <c r="AE39" i="7"/>
  <c r="AE47" i="7" s="1"/>
  <c r="AD39" i="7"/>
  <c r="AC39" i="7"/>
  <c r="AA39" i="7"/>
  <c r="AA47" i="7" s="1"/>
  <c r="Z39" i="7"/>
  <c r="Y39" i="7"/>
  <c r="Y47" i="7" s="1"/>
  <c r="X39" i="7"/>
  <c r="W39" i="7"/>
  <c r="W47" i="7" s="1"/>
  <c r="V39" i="7"/>
  <c r="V47" i="7" s="1"/>
  <c r="U39" i="7"/>
  <c r="U47" i="7" s="1"/>
  <c r="T39" i="7"/>
  <c r="T47" i="7" s="1"/>
  <c r="BU38" i="7"/>
  <c r="BU66" i="7" s="1"/>
  <c r="W38" i="7"/>
  <c r="W37" i="7" s="1"/>
  <c r="P38" i="7"/>
  <c r="O38" i="7"/>
  <c r="N38" i="7"/>
  <c r="K38" i="7"/>
  <c r="J38" i="7"/>
  <c r="J47" i="7" s="1"/>
  <c r="I38" i="7"/>
  <c r="G38" i="7"/>
  <c r="G22" i="7" s="1"/>
  <c r="F38" i="7"/>
  <c r="BT37" i="7"/>
  <c r="BS37" i="7"/>
  <c r="BR37" i="7"/>
  <c r="BQ37" i="7"/>
  <c r="BP37" i="7"/>
  <c r="BO37" i="7"/>
  <c r="BN37" i="7"/>
  <c r="BM37" i="7"/>
  <c r="BL37" i="7"/>
  <c r="BK37" i="7"/>
  <c r="BJ37" i="7"/>
  <c r="BI37" i="7"/>
  <c r="BH37" i="7"/>
  <c r="BG37" i="7"/>
  <c r="BF37" i="7"/>
  <c r="BE37" i="7"/>
  <c r="BD37" i="7"/>
  <c r="BC37" i="7"/>
  <c r="BB37" i="7"/>
  <c r="BA37" i="7"/>
  <c r="AZ37" i="7"/>
  <c r="AY37" i="7"/>
  <c r="AX37" i="7"/>
  <c r="AW37" i="7"/>
  <c r="AV37" i="7"/>
  <c r="AU37" i="7"/>
  <c r="AT37" i="7"/>
  <c r="AS37" i="7"/>
  <c r="AR37" i="7"/>
  <c r="AQ37" i="7"/>
  <c r="AP37" i="7"/>
  <c r="AO37" i="7"/>
  <c r="AN37" i="7"/>
  <c r="AM37" i="7"/>
  <c r="AL37" i="7"/>
  <c r="AK37" i="7"/>
  <c r="AJ37" i="7"/>
  <c r="AI37" i="7"/>
  <c r="AH37" i="7"/>
  <c r="AG37" i="7"/>
  <c r="AF37" i="7"/>
  <c r="AE37" i="7"/>
  <c r="AD37" i="7"/>
  <c r="AC37" i="7"/>
  <c r="AB37" i="7"/>
  <c r="AA37" i="7"/>
  <c r="Z37" i="7"/>
  <c r="Y37" i="7"/>
  <c r="V37" i="7"/>
  <c r="U37" i="7"/>
  <c r="T37" i="7"/>
  <c r="AG36" i="7"/>
  <c r="K36" i="7"/>
  <c r="J36" i="7"/>
  <c r="BU35" i="7"/>
  <c r="BU33" i="7" s="1"/>
  <c r="BU36" i="7" s="1"/>
  <c r="AB35" i="7"/>
  <c r="AA35" i="7"/>
  <c r="AA33" i="7" s="1"/>
  <c r="X35" i="7"/>
  <c r="B35" i="7"/>
  <c r="AB34" i="7"/>
  <c r="AB33" i="7" s="1"/>
  <c r="Z34" i="7"/>
  <c r="Z33" i="7" s="1"/>
  <c r="X34" i="7"/>
  <c r="K34" i="7"/>
  <c r="BR33" i="7"/>
  <c r="BQ33" i="7"/>
  <c r="BP33" i="7"/>
  <c r="BO33" i="7"/>
  <c r="BN33" i="7"/>
  <c r="BM33" i="7"/>
  <c r="BL33" i="7"/>
  <c r="BK33" i="7"/>
  <c r="BJ33" i="7"/>
  <c r="BI33" i="7"/>
  <c r="BI36" i="7" s="1"/>
  <c r="BH33" i="7"/>
  <c r="BG33" i="7"/>
  <c r="BF33" i="7"/>
  <c r="BE33" i="7"/>
  <c r="BD33" i="7"/>
  <c r="BC33" i="7"/>
  <c r="BB33" i="7"/>
  <c r="BA33" i="7"/>
  <c r="AZ33" i="7"/>
  <c r="AY33" i="7"/>
  <c r="AX33" i="7"/>
  <c r="AW33" i="7"/>
  <c r="AW36" i="7" s="1"/>
  <c r="AV33" i="7"/>
  <c r="AU33" i="7"/>
  <c r="AT33" i="7"/>
  <c r="AS33" i="7"/>
  <c r="AR33" i="7"/>
  <c r="AQ33" i="7"/>
  <c r="AP33" i="7"/>
  <c r="AO33" i="7"/>
  <c r="AN33" i="7"/>
  <c r="AM33" i="7"/>
  <c r="AL33" i="7"/>
  <c r="AK33" i="7"/>
  <c r="AK36" i="7" s="1"/>
  <c r="AJ33" i="7"/>
  <c r="AI33" i="7"/>
  <c r="AH33" i="7"/>
  <c r="AG33" i="7"/>
  <c r="AF33" i="7"/>
  <c r="AE33" i="7"/>
  <c r="AD33" i="7"/>
  <c r="AC33" i="7"/>
  <c r="Y33" i="7"/>
  <c r="X33" i="7"/>
  <c r="W33" i="7"/>
  <c r="V33" i="7"/>
  <c r="U33" i="7"/>
  <c r="T33" i="7"/>
  <c r="AI32" i="7"/>
  <c r="K30" i="7"/>
  <c r="AA29" i="7"/>
  <c r="Y29" i="7"/>
  <c r="Y27" i="7" s="1"/>
  <c r="W29" i="7"/>
  <c r="J29" i="7"/>
  <c r="L29" i="7" s="1"/>
  <c r="H29" i="7"/>
  <c r="F29" i="7"/>
  <c r="D29" i="7"/>
  <c r="B29" i="7"/>
  <c r="AI28" i="7"/>
  <c r="AI27" i="7" s="1"/>
  <c r="AI36" i="7" s="1"/>
  <c r="AA28" i="7"/>
  <c r="AA27" i="7" s="1"/>
  <c r="AA36" i="7" s="1"/>
  <c r="W28" i="7"/>
  <c r="AE28" i="7" s="1"/>
  <c r="AE27" i="7" s="1"/>
  <c r="AE36" i="7" s="1"/>
  <c r="U28" i="7"/>
  <c r="U27" i="7" s="1"/>
  <c r="U36" i="7" s="1"/>
  <c r="N28" i="7"/>
  <c r="K28" i="7"/>
  <c r="BU27" i="7"/>
  <c r="BT27" i="7"/>
  <c r="BS27" i="7"/>
  <c r="BS35" i="7" s="1"/>
  <c r="BS33" i="7" s="1"/>
  <c r="BR27" i="7"/>
  <c r="BR36" i="7" s="1"/>
  <c r="BQ27" i="7"/>
  <c r="BQ36" i="7" s="1"/>
  <c r="BP27" i="7"/>
  <c r="BO27" i="7"/>
  <c r="BO36" i="7" s="1"/>
  <c r="BN27" i="7"/>
  <c r="BN36" i="7" s="1"/>
  <c r="BM27" i="7"/>
  <c r="BM36" i="7" s="1"/>
  <c r="BL27" i="7"/>
  <c r="BL36" i="7" s="1"/>
  <c r="BK27" i="7"/>
  <c r="BK36" i="7" s="1"/>
  <c r="BJ27" i="7"/>
  <c r="BI27" i="7"/>
  <c r="BH27" i="7"/>
  <c r="BH36" i="7" s="1"/>
  <c r="BG27" i="7"/>
  <c r="BG36" i="7" s="1"/>
  <c r="BF27" i="7"/>
  <c r="BF36" i="7" s="1"/>
  <c r="BE27" i="7"/>
  <c r="BE36" i="7" s="1"/>
  <c r="BD27" i="7"/>
  <c r="BC27" i="7"/>
  <c r="BC36" i="7" s="1"/>
  <c r="BB27" i="7"/>
  <c r="BB36" i="7" s="1"/>
  <c r="BA27" i="7"/>
  <c r="BA36" i="7" s="1"/>
  <c r="AZ27" i="7"/>
  <c r="AZ36" i="7" s="1"/>
  <c r="AY27" i="7"/>
  <c r="AY36" i="7" s="1"/>
  <c r="AX27" i="7"/>
  <c r="AW27" i="7"/>
  <c r="AV27" i="7"/>
  <c r="AV36" i="7" s="1"/>
  <c r="AU27" i="7"/>
  <c r="AU36" i="7" s="1"/>
  <c r="AT27" i="7"/>
  <c r="AT36" i="7" s="1"/>
  <c r="AS27" i="7"/>
  <c r="AS36" i="7" s="1"/>
  <c r="AR27" i="7"/>
  <c r="AQ27" i="7"/>
  <c r="AQ36" i="7" s="1"/>
  <c r="AP27" i="7"/>
  <c r="AP36" i="7" s="1"/>
  <c r="AO27" i="7"/>
  <c r="AO36" i="7" s="1"/>
  <c r="AN27" i="7"/>
  <c r="AN36" i="7" s="1"/>
  <c r="AM27" i="7"/>
  <c r="AM36" i="7" s="1"/>
  <c r="AL27" i="7"/>
  <c r="AK27" i="7"/>
  <c r="AJ27" i="7"/>
  <c r="AJ36" i="7" s="1"/>
  <c r="AH27" i="7"/>
  <c r="AH36" i="7" s="1"/>
  <c r="AG27" i="7"/>
  <c r="AF27" i="7"/>
  <c r="AD27" i="7"/>
  <c r="AD36" i="7" s="1"/>
  <c r="AC27" i="7"/>
  <c r="AC36" i="7" s="1"/>
  <c r="AB27" i="7"/>
  <c r="Z27" i="7"/>
  <c r="X27" i="7"/>
  <c r="V27" i="7"/>
  <c r="V61" i="7" s="1"/>
  <c r="T27" i="7"/>
  <c r="T36" i="7" s="1"/>
  <c r="J27" i="7"/>
  <c r="L27" i="7" s="1"/>
  <c r="H27" i="7"/>
  <c r="G27" i="7"/>
  <c r="F27" i="7"/>
  <c r="E27" i="7"/>
  <c r="D27" i="7"/>
  <c r="B27" i="7"/>
  <c r="K26" i="7"/>
  <c r="Z25" i="7"/>
  <c r="Z68" i="7" s="1"/>
  <c r="P25" i="7"/>
  <c r="O25" i="7"/>
  <c r="L25" i="7"/>
  <c r="K25" i="7"/>
  <c r="J25" i="7"/>
  <c r="I25" i="7"/>
  <c r="H25" i="7"/>
  <c r="G25" i="7"/>
  <c r="F25" i="7"/>
  <c r="E25" i="7"/>
  <c r="D25" i="7"/>
  <c r="B25" i="7"/>
  <c r="BU24" i="7"/>
  <c r="BU67" i="7" s="1"/>
  <c r="BT24" i="7"/>
  <c r="BT67" i="7" s="1"/>
  <c r="BT65" i="7" s="1"/>
  <c r="BS24" i="7"/>
  <c r="BS67" i="7" s="1"/>
  <c r="AD24" i="7"/>
  <c r="AD67" i="7" s="1"/>
  <c r="AB24" i="7"/>
  <c r="AB67" i="7" s="1"/>
  <c r="AA24" i="7"/>
  <c r="AA67" i="7" s="1"/>
  <c r="Z24" i="7"/>
  <c r="Z67" i="7" s="1"/>
  <c r="Y24" i="7"/>
  <c r="Y67" i="7" s="1"/>
  <c r="Y65" i="7" s="1"/>
  <c r="X24" i="7"/>
  <c r="X67" i="7" s="1"/>
  <c r="W24" i="7"/>
  <c r="W67" i="7" s="1"/>
  <c r="V24" i="7"/>
  <c r="V67" i="7" s="1"/>
  <c r="U24" i="7"/>
  <c r="U67" i="7" s="1"/>
  <c r="T24" i="7"/>
  <c r="T67" i="7" s="1"/>
  <c r="K24" i="7"/>
  <c r="K22" i="7" s="1"/>
  <c r="K67" i="7" s="1"/>
  <c r="I24" i="7"/>
  <c r="I22" i="7" s="1"/>
  <c r="AA23" i="7"/>
  <c r="AA66" i="7" s="1"/>
  <c r="AA65" i="7" s="1"/>
  <c r="W23" i="7"/>
  <c r="W66" i="7" s="1"/>
  <c r="AE65" i="7" s="1"/>
  <c r="N23" i="7"/>
  <c r="K23" i="7"/>
  <c r="I23" i="7"/>
  <c r="G23" i="7"/>
  <c r="F23" i="7"/>
  <c r="E23" i="7"/>
  <c r="E22" i="7" s="1"/>
  <c r="BT22" i="7"/>
  <c r="BR22" i="7"/>
  <c r="BN22" i="7"/>
  <c r="BJ22" i="7"/>
  <c r="Z22" i="7"/>
  <c r="T22" i="7"/>
  <c r="O22" i="7"/>
  <c r="N22" i="7"/>
  <c r="M22" i="7"/>
  <c r="H22" i="7"/>
  <c r="F22" i="7"/>
  <c r="C22" i="7"/>
  <c r="BK21" i="7"/>
  <c r="AY21" i="7"/>
  <c r="AK21" i="7"/>
  <c r="AI21" i="7"/>
  <c r="BU10" i="7"/>
  <c r="BU8" i="7" s="1"/>
  <c r="BT20" i="7"/>
  <c r="BO20" i="7"/>
  <c r="BJ20" i="7"/>
  <c r="BG20" i="7"/>
  <c r="BD20" i="7"/>
  <c r="BE20" i="7" s="1"/>
  <c r="BF20" i="7" s="1"/>
  <c r="AZ20" i="7"/>
  <c r="AY20" i="7"/>
  <c r="AT20" i="7"/>
  <c r="AT10" i="7" s="1"/>
  <c r="AR20" i="7"/>
  <c r="AR10" i="7" s="1"/>
  <c r="AL20" i="7"/>
  <c r="AK20" i="7"/>
  <c r="AH20" i="7"/>
  <c r="AG20" i="7"/>
  <c r="AF20" i="7"/>
  <c r="W20" i="7" s="1"/>
  <c r="AC20" i="7"/>
  <c r="AB20" i="7"/>
  <c r="AA20" i="7"/>
  <c r="Z20" i="7"/>
  <c r="V20" i="7"/>
  <c r="U20" i="7"/>
  <c r="U10" i="7" s="1"/>
  <c r="U8" i="7" s="1"/>
  <c r="T20" i="7"/>
  <c r="BI19" i="7"/>
  <c r="BG19" i="7"/>
  <c r="BF19" i="7"/>
  <c r="BE19" i="7"/>
  <c r="AY19" i="7"/>
  <c r="AL19" i="7"/>
  <c r="AS19" i="7" s="1"/>
  <c r="AK19" i="7"/>
  <c r="AF19" i="7"/>
  <c r="W19" i="7" s="1"/>
  <c r="AD19" i="7"/>
  <c r="AC19" i="7"/>
  <c r="AB19" i="7"/>
  <c r="AA19" i="7"/>
  <c r="Y19" i="7"/>
  <c r="U19" i="7"/>
  <c r="T19" i="7"/>
  <c r="G19" i="7"/>
  <c r="E19" i="7"/>
  <c r="BJ18" i="7"/>
  <c r="BI18" i="7"/>
  <c r="BG18" i="7"/>
  <c r="AB18" i="7" s="1"/>
  <c r="BD18" i="7"/>
  <c r="BE18" i="7" s="1"/>
  <c r="BF18" i="7" s="1"/>
  <c r="AS18" i="7"/>
  <c r="AL18" i="7"/>
  <c r="AH18" i="7"/>
  <c r="AF18" i="7"/>
  <c r="AD18" i="7"/>
  <c r="AC18" i="7"/>
  <c r="AA18" i="7"/>
  <c r="X18" i="7"/>
  <c r="V18" i="7"/>
  <c r="U18" i="7"/>
  <c r="T18" i="7"/>
  <c r="E18" i="7"/>
  <c r="E29" i="7" s="1"/>
  <c r="C18" i="7"/>
  <c r="BL17" i="7"/>
  <c r="BI17" i="7"/>
  <c r="BG17" i="7"/>
  <c r="AB17" i="7" s="1"/>
  <c r="BD17" i="7"/>
  <c r="BE17" i="7" s="1"/>
  <c r="BF17" i="7" s="1"/>
  <c r="AS17" i="7"/>
  <c r="AL17" i="7"/>
  <c r="AF17" i="7"/>
  <c r="W17" i="7" s="1"/>
  <c r="AD17" i="7"/>
  <c r="AC17" i="7"/>
  <c r="AA17" i="7"/>
  <c r="X17" i="7"/>
  <c r="U17" i="7"/>
  <c r="T17" i="7"/>
  <c r="BI16" i="7"/>
  <c r="BG16" i="7"/>
  <c r="BD16" i="7"/>
  <c r="AQ16" i="7"/>
  <c r="AQ10" i="7" s="1"/>
  <c r="AQ22" i="7" s="1"/>
  <c r="AL16" i="7"/>
  <c r="AF16" i="7"/>
  <c r="AD16" i="7"/>
  <c r="AC16" i="7"/>
  <c r="AB16" i="7"/>
  <c r="AA16" i="7"/>
  <c r="X16" i="7"/>
  <c r="W16" i="7"/>
  <c r="U16" i="7"/>
  <c r="T16" i="7"/>
  <c r="C16" i="7"/>
  <c r="C27" i="7" s="1"/>
  <c r="BM15" i="7"/>
  <c r="BI15" i="7"/>
  <c r="BG15" i="7"/>
  <c r="AB15" i="7" s="1"/>
  <c r="BE15" i="7"/>
  <c r="BF15" i="7" s="1"/>
  <c r="AS15" i="7"/>
  <c r="AD15" i="7"/>
  <c r="AC15" i="7"/>
  <c r="AA15" i="7"/>
  <c r="W15" i="7"/>
  <c r="U15" i="7"/>
  <c r="BI14" i="7"/>
  <c r="BG14" i="7"/>
  <c r="AB14" i="7" s="1"/>
  <c r="BE14" i="7"/>
  <c r="BF14" i="7" s="1"/>
  <c r="AS14" i="7"/>
  <c r="AK14" i="7"/>
  <c r="AI14" i="7"/>
  <c r="AH14" i="7"/>
  <c r="W14" i="7" s="1"/>
  <c r="AD14" i="7"/>
  <c r="AC14" i="7"/>
  <c r="AA14" i="7"/>
  <c r="U14" i="7"/>
  <c r="T14" i="7"/>
  <c r="C14" i="7"/>
  <c r="C25" i="7" s="1"/>
  <c r="BM13" i="7"/>
  <c r="BI13" i="7"/>
  <c r="BG13" i="7"/>
  <c r="AB13" i="7" s="1"/>
  <c r="BE13" i="7"/>
  <c r="BF13" i="7" s="1"/>
  <c r="BD13" i="7"/>
  <c r="AY13" i="7"/>
  <c r="AL13" i="7"/>
  <c r="AH13" i="7"/>
  <c r="AG13" i="7"/>
  <c r="AG10" i="7" s="1"/>
  <c r="AD13" i="7"/>
  <c r="AC13" i="7"/>
  <c r="AA13" i="7"/>
  <c r="W13" i="7"/>
  <c r="U13" i="7"/>
  <c r="T13" i="7"/>
  <c r="O13" i="7"/>
  <c r="F13" i="7"/>
  <c r="B13" i="7"/>
  <c r="B4" i="7" s="1"/>
  <c r="BJ12" i="7"/>
  <c r="BJ21" i="7" s="1"/>
  <c r="BJ23" i="7" s="1"/>
  <c r="BI12" i="7"/>
  <c r="BG12" i="7"/>
  <c r="AB12" i="7" s="1"/>
  <c r="BE12" i="7"/>
  <c r="BF12" i="7" s="1"/>
  <c r="BD12" i="7"/>
  <c r="AL12" i="7"/>
  <c r="AS12" i="7" s="1"/>
  <c r="AH12" i="7"/>
  <c r="AF12" i="7"/>
  <c r="AD12" i="7"/>
  <c r="AC12" i="7"/>
  <c r="AA12" i="7"/>
  <c r="X12" i="7"/>
  <c r="U12" i="7"/>
  <c r="T12" i="7"/>
  <c r="P12" i="7"/>
  <c r="O12" i="7"/>
  <c r="N12" i="7"/>
  <c r="N4" i="7" s="1"/>
  <c r="J12" i="7"/>
  <c r="I12" i="7"/>
  <c r="I4" i="7" s="1"/>
  <c r="H12" i="7"/>
  <c r="G12" i="7"/>
  <c r="G4" i="7" s="1"/>
  <c r="F12" i="7"/>
  <c r="E12" i="7"/>
  <c r="E4" i="7" s="1"/>
  <c r="C12" i="7"/>
  <c r="BI11" i="7"/>
  <c r="BG11" i="7"/>
  <c r="BE11" i="7"/>
  <c r="AS11" i="7"/>
  <c r="AK11" i="7"/>
  <c r="AD11" i="7"/>
  <c r="AC11" i="7"/>
  <c r="AA11" i="7"/>
  <c r="W11" i="7"/>
  <c r="U11" i="7"/>
  <c r="T11" i="7"/>
  <c r="K11" i="7"/>
  <c r="E11" i="7"/>
  <c r="BT10" i="7"/>
  <c r="BT8" i="7" s="1"/>
  <c r="BR10" i="7"/>
  <c r="BQ10" i="7"/>
  <c r="BQ23" i="7" s="1"/>
  <c r="BP10" i="7"/>
  <c r="BP23" i="7" s="1"/>
  <c r="BO10" i="7"/>
  <c r="BA10" i="7"/>
  <c r="BA22" i="7" s="1"/>
  <c r="AZ10" i="7"/>
  <c r="AZ22" i="7" s="1"/>
  <c r="AP10" i="7"/>
  <c r="AO10" i="7"/>
  <c r="AN10" i="7"/>
  <c r="AM10" i="7"/>
  <c r="AJ10" i="7"/>
  <c r="AJ22" i="7" s="1"/>
  <c r="AI10" i="7"/>
  <c r="AI22" i="7" s="1"/>
  <c r="AH10" i="7"/>
  <c r="AE10" i="7"/>
  <c r="AB10" i="7"/>
  <c r="Z10" i="7"/>
  <c r="Y10" i="7"/>
  <c r="K10" i="7"/>
  <c r="BI9" i="7"/>
  <c r="AD9" i="7"/>
  <c r="G9" i="7"/>
  <c r="E9" i="7"/>
  <c r="BR8" i="7"/>
  <c r="BR62" i="7" s="1"/>
  <c r="BR70" i="7" s="1"/>
  <c r="AE8" i="7"/>
  <c r="Z8" i="7"/>
  <c r="Y8" i="7"/>
  <c r="L8" i="7"/>
  <c r="G8" i="7"/>
  <c r="F8" i="7"/>
  <c r="E8" i="7"/>
  <c r="AD7" i="7"/>
  <c r="W7" i="7"/>
  <c r="K7" i="7"/>
  <c r="AD6" i="7"/>
  <c r="AD4" i="7" s="1"/>
  <c r="C6" i="7"/>
  <c r="AD5" i="7"/>
  <c r="K5" i="7"/>
  <c r="E5" i="7"/>
  <c r="BU4" i="7"/>
  <c r="BT4" i="7"/>
  <c r="BS4" i="7"/>
  <c r="BR4" i="7"/>
  <c r="AC4" i="7"/>
  <c r="AB4" i="7"/>
  <c r="AA4" i="7"/>
  <c r="AA61" i="7" s="1"/>
  <c r="Z4" i="7"/>
  <c r="Y4" i="7"/>
  <c r="Y61" i="7" s="1"/>
  <c r="X4" i="7"/>
  <c r="W4" i="7"/>
  <c r="U4" i="7"/>
  <c r="U61" i="7" s="1"/>
  <c r="T4" i="7"/>
  <c r="P4" i="7"/>
  <c r="O4" i="7"/>
  <c r="M4" i="7"/>
  <c r="L4" i="7"/>
  <c r="J4" i="7"/>
  <c r="H4" i="7"/>
  <c r="F4" i="7"/>
  <c r="D4" i="7"/>
  <c r="BU3" i="7"/>
  <c r="BT3" i="7"/>
  <c r="BS3" i="7"/>
  <c r="BR3" i="7"/>
  <c r="AD3" i="7"/>
  <c r="AA3" i="7"/>
  <c r="AL10" i="7" l="1"/>
  <c r="AL22" i="7" s="1"/>
  <c r="AC61" i="7"/>
  <c r="BS65" i="7"/>
  <c r="J22" i="7"/>
  <c r="J51" i="7" s="1"/>
  <c r="BT47" i="7"/>
  <c r="AJ55" i="7"/>
  <c r="Z36" i="7"/>
  <c r="K4" i="7"/>
  <c r="AB36" i="7"/>
  <c r="AC53" i="7"/>
  <c r="Y62" i="7"/>
  <c r="Y70" i="7" s="1"/>
  <c r="BU62" i="7"/>
  <c r="BU70" i="7" s="1"/>
  <c r="AL36" i="7"/>
  <c r="AR36" i="7"/>
  <c r="AX36" i="7"/>
  <c r="BD36" i="7"/>
  <c r="BJ36" i="7"/>
  <c r="BP36" i="7"/>
  <c r="AC51" i="7"/>
  <c r="AC52" i="7"/>
  <c r="BU47" i="7"/>
  <c r="Z62" i="7"/>
  <c r="Z70" i="7" s="1"/>
  <c r="AA10" i="7"/>
  <c r="AA8" i="7" s="1"/>
  <c r="AA62" i="7" s="1"/>
  <c r="AA70" i="7" s="1"/>
  <c r="T10" i="7"/>
  <c r="T8" i="7" s="1"/>
  <c r="T62" i="7" s="1"/>
  <c r="T70" i="7" s="1"/>
  <c r="X14" i="7"/>
  <c r="AF10" i="7"/>
  <c r="BM17" i="7"/>
  <c r="V10" i="7"/>
  <c r="V8" i="7" s="1"/>
  <c r="V62" i="7" s="1"/>
  <c r="W18" i="7"/>
  <c r="X19" i="7"/>
  <c r="V22" i="7"/>
  <c r="W27" i="7"/>
  <c r="W36" i="7" s="1"/>
  <c r="AF36" i="7"/>
  <c r="Y36" i="7"/>
  <c r="BU37" i="7"/>
  <c r="AE52" i="7"/>
  <c r="AB22" i="7"/>
  <c r="W12" i="7"/>
  <c r="W10" i="7" s="1"/>
  <c r="W8" i="7" s="1"/>
  <c r="BM14" i="7"/>
  <c r="AS20" i="7"/>
  <c r="X22" i="7"/>
  <c r="X36" i="7"/>
  <c r="X37" i="7" s="1"/>
  <c r="AC47" i="7"/>
  <c r="BS47" i="7"/>
  <c r="X54" i="7"/>
  <c r="AI65" i="7" s="1"/>
  <c r="AJ65" i="7" s="1"/>
  <c r="P22" i="7"/>
  <c r="P67" i="7" s="1"/>
  <c r="BU22" i="7"/>
  <c r="K66" i="7"/>
  <c r="K51" i="7"/>
  <c r="E51" i="7"/>
  <c r="I66" i="7"/>
  <c r="I51" i="7"/>
  <c r="G66" i="7"/>
  <c r="G51" i="7"/>
  <c r="B51" i="7"/>
  <c r="F51" i="7"/>
  <c r="N51" i="7"/>
  <c r="Z61" i="7"/>
  <c r="Z21" i="7"/>
  <c r="AD61" i="7"/>
  <c r="L66" i="7" s="1"/>
  <c r="BU61" i="7"/>
  <c r="BU63" i="7" s="1"/>
  <c r="BU21" i="7"/>
  <c r="M51" i="7"/>
  <c r="O51" i="7"/>
  <c r="T61" i="7"/>
  <c r="T63" i="7" s="1"/>
  <c r="T21" i="7"/>
  <c r="BR61" i="7"/>
  <c r="BR63" i="7" s="1"/>
  <c r="BR21" i="7"/>
  <c r="BT61" i="7"/>
  <c r="BT21" i="7"/>
  <c r="AB8" i="7"/>
  <c r="AC10" i="7"/>
  <c r="AC8" i="7" s="1"/>
  <c r="AC62" i="7" s="1"/>
  <c r="AC70" i="7" s="1"/>
  <c r="X11" i="7"/>
  <c r="AK10" i="7"/>
  <c r="AK22" i="7" s="1"/>
  <c r="BE21" i="7"/>
  <c r="BF11" i="7"/>
  <c r="BM12" i="7"/>
  <c r="AY10" i="7"/>
  <c r="AS16" i="7"/>
  <c r="BD21" i="7"/>
  <c r="BE16" i="7"/>
  <c r="BF16" i="7" s="1"/>
  <c r="BL21" i="7"/>
  <c r="BL18" i="7"/>
  <c r="BM18" i="7" s="1"/>
  <c r="BM19" i="7"/>
  <c r="X20" i="7"/>
  <c r="BI20" i="7"/>
  <c r="BM20" i="7" s="1"/>
  <c r="U21" i="7"/>
  <c r="Y21" i="7"/>
  <c r="B67" i="7"/>
  <c r="BS62" i="7"/>
  <c r="BS70" i="7" s="1"/>
  <c r="BS36" i="7"/>
  <c r="BU65" i="7"/>
  <c r="U65" i="7"/>
  <c r="D66" i="7"/>
  <c r="D51" i="7"/>
  <c r="H66" i="7"/>
  <c r="H51" i="7"/>
  <c r="L51" i="7"/>
  <c r="P66" i="7"/>
  <c r="X61" i="7"/>
  <c r="AB21" i="7"/>
  <c r="BS61" i="7"/>
  <c r="BS21" i="7"/>
  <c r="BO23" i="7"/>
  <c r="BN20" i="7"/>
  <c r="AB11" i="7"/>
  <c r="BG10" i="7"/>
  <c r="BH10" i="7" s="1"/>
  <c r="BM11" i="7"/>
  <c r="AS13" i="7"/>
  <c r="X13" i="7"/>
  <c r="BM16" i="7"/>
  <c r="C29" i="7"/>
  <c r="C13" i="7"/>
  <c r="C4" i="7" s="1"/>
  <c r="AD44" i="7"/>
  <c r="AD43" i="7" s="1"/>
  <c r="AD47" i="7" s="1"/>
  <c r="AB43" i="7"/>
  <c r="U22" i="7"/>
  <c r="W22" i="7"/>
  <c r="Y22" i="7"/>
  <c r="AA22" i="7"/>
  <c r="AD22" i="7"/>
  <c r="BT35" i="7"/>
  <c r="BT33" i="7" s="1"/>
  <c r="BT62" i="7" s="1"/>
  <c r="V36" i="7"/>
  <c r="AB39" i="7"/>
  <c r="W65" i="7"/>
  <c r="T65" i="7"/>
  <c r="X65" i="7"/>
  <c r="Z65" i="7"/>
  <c r="M67" i="7"/>
  <c r="U51" i="7"/>
  <c r="U62" i="7" s="1"/>
  <c r="V65" i="7"/>
  <c r="AB65" i="7"/>
  <c r="AD65" i="7"/>
  <c r="V70" i="7" l="1"/>
  <c r="V63" i="7"/>
  <c r="D67" i="7"/>
  <c r="W62" i="7"/>
  <c r="W21" i="7"/>
  <c r="P51" i="7"/>
  <c r="H67" i="7"/>
  <c r="Z63" i="7"/>
  <c r="AA63" i="7"/>
  <c r="V21" i="7"/>
  <c r="I67" i="7"/>
  <c r="AA21" i="7"/>
  <c r="Y63" i="7"/>
  <c r="W61" i="7"/>
  <c r="G67" i="7"/>
  <c r="AB47" i="7"/>
  <c r="U70" i="7"/>
  <c r="C67" i="7"/>
  <c r="U63" i="7"/>
  <c r="BT70" i="7"/>
  <c r="O67" i="7"/>
  <c r="U54" i="7"/>
  <c r="BT36" i="7"/>
  <c r="N67" i="7"/>
  <c r="C66" i="7"/>
  <c r="C51" i="7"/>
  <c r="AD20" i="7"/>
  <c r="AD10" i="7" s="1"/>
  <c r="AD8" i="7" s="1"/>
  <c r="BN10" i="7"/>
  <c r="BN23" i="7" s="1"/>
  <c r="BS63" i="7"/>
  <c r="AB61" i="7"/>
  <c r="AK58" i="7"/>
  <c r="BF21" i="7"/>
  <c r="AC63" i="7"/>
  <c r="AU10" i="7"/>
  <c r="N66" i="7"/>
  <c r="F66" i="7"/>
  <c r="B66" i="7"/>
  <c r="AY22" i="7"/>
  <c r="BB10" i="7"/>
  <c r="BB22" i="7" s="1"/>
  <c r="BI21" i="7"/>
  <c r="X10" i="7"/>
  <c r="AB62" i="7"/>
  <c r="BT63" i="7"/>
  <c r="O66" i="7"/>
  <c r="M66" i="7"/>
  <c r="W63" i="7" l="1"/>
  <c r="E66" i="7"/>
  <c r="W70" i="7"/>
  <c r="E67" i="7"/>
  <c r="AB70" i="7"/>
  <c r="BG61" i="7"/>
  <c r="BH61" i="7" s="1"/>
  <c r="J67" i="7"/>
  <c r="AD62" i="7"/>
  <c r="AD21" i="7"/>
  <c r="AV10" i="7"/>
  <c r="AW10" i="7" s="1"/>
  <c r="X8" i="7"/>
  <c r="AB63" i="7"/>
  <c r="J66" i="7"/>
  <c r="J68" i="7" s="1"/>
  <c r="AD70" i="7" l="1"/>
  <c r="L67" i="7"/>
  <c r="AD63" i="7"/>
  <c r="X62" i="7"/>
  <c r="X21" i="7"/>
  <c r="X70" i="7" l="1"/>
  <c r="F67" i="7"/>
  <c r="AK61" i="7"/>
  <c r="X63" i="7"/>
</calcChain>
</file>

<file path=xl/comments1.xml><?xml version="1.0" encoding="utf-8"?>
<comments xmlns="http://schemas.openxmlformats.org/spreadsheetml/2006/main">
  <authors>
    <author>repik</author>
  </authors>
  <commentList>
    <comment ref="D36" authorId="0" shapeId="0">
      <text>
        <r>
          <rPr>
            <b/>
            <sz val="14"/>
            <color indexed="81"/>
            <rFont val="Tahoma"/>
            <family val="2"/>
            <charset val="204"/>
          </rPr>
          <t xml:space="preserve"> + 580600</t>
        </r>
        <r>
          <rPr>
            <sz val="14"/>
            <color indexed="81"/>
            <rFont val="Tahoma"/>
            <family val="2"/>
            <charset val="204"/>
          </rPr>
          <t xml:space="preserve">
</t>
        </r>
      </text>
    </comment>
    <comment ref="E36" authorId="0" shapeId="0">
      <text>
        <r>
          <rPr>
            <b/>
            <sz val="14"/>
            <color indexed="81"/>
            <rFont val="Tahoma"/>
            <family val="2"/>
            <charset val="204"/>
          </rPr>
          <t xml:space="preserve"> + 580600</t>
        </r>
        <r>
          <rPr>
            <sz val="14"/>
            <color indexed="81"/>
            <rFont val="Tahoma"/>
            <family val="2"/>
            <charset val="204"/>
          </rPr>
          <t xml:space="preserve">
</t>
        </r>
      </text>
    </comment>
    <comment ref="F36" authorId="0" shapeId="0">
      <text>
        <r>
          <rPr>
            <b/>
            <sz val="14"/>
            <color indexed="81"/>
            <rFont val="Tahoma"/>
            <family val="2"/>
            <charset val="204"/>
          </rPr>
          <t xml:space="preserve"> + 580600</t>
        </r>
        <r>
          <rPr>
            <sz val="14"/>
            <color indexed="81"/>
            <rFont val="Tahoma"/>
            <family val="2"/>
            <charset val="204"/>
          </rPr>
          <t xml:space="preserve">
</t>
        </r>
      </text>
    </comment>
    <comment ref="D38" authorId="0" shapeId="0">
      <text>
        <r>
          <rPr>
            <b/>
            <sz val="14"/>
            <color indexed="81"/>
            <rFont val="Tahoma"/>
            <family val="2"/>
            <charset val="204"/>
          </rPr>
          <t xml:space="preserve"> + 580600</t>
        </r>
        <r>
          <rPr>
            <sz val="14"/>
            <color indexed="81"/>
            <rFont val="Tahoma"/>
            <family val="2"/>
            <charset val="204"/>
          </rPr>
          <t xml:space="preserve">
</t>
        </r>
      </text>
    </comment>
    <comment ref="E38" authorId="0" shapeId="0">
      <text>
        <r>
          <rPr>
            <b/>
            <sz val="14"/>
            <color indexed="81"/>
            <rFont val="Tahoma"/>
            <family val="2"/>
            <charset val="204"/>
          </rPr>
          <t xml:space="preserve"> + 580600</t>
        </r>
        <r>
          <rPr>
            <sz val="14"/>
            <color indexed="81"/>
            <rFont val="Tahoma"/>
            <family val="2"/>
            <charset val="204"/>
          </rPr>
          <t xml:space="preserve">
</t>
        </r>
      </text>
    </comment>
    <comment ref="F38" authorId="0" shapeId="0">
      <text>
        <r>
          <rPr>
            <b/>
            <sz val="14"/>
            <color indexed="81"/>
            <rFont val="Tahoma"/>
            <family val="2"/>
            <charset val="204"/>
          </rPr>
          <t xml:space="preserve"> + 580600</t>
        </r>
        <r>
          <rPr>
            <sz val="14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<sst xmlns="http://schemas.openxmlformats.org/spreadsheetml/2006/main" count="178" uniqueCount="144">
  <si>
    <t>Загальний фонд</t>
  </si>
  <si>
    <t>Спеціальний фонд</t>
  </si>
  <si>
    <t>тис.грн</t>
  </si>
  <si>
    <t>Показники</t>
  </si>
  <si>
    <t>2015 (ф)</t>
  </si>
  <si>
    <t>2016 (ф)</t>
  </si>
  <si>
    <t>2017 (ф)</t>
  </si>
  <si>
    <t>2018 (ф)</t>
  </si>
  <si>
    <t>2019 (ф)</t>
  </si>
  <si>
    <t>2020 (ф)</t>
  </si>
  <si>
    <t>2021                              (рішення)</t>
  </si>
  <si>
    <t>2022                              (прогноз)</t>
  </si>
  <si>
    <t>додаткові</t>
  </si>
  <si>
    <t>2022                         (рішення   14.07.2022)</t>
  </si>
  <si>
    <t>2022                        (прогноз)</t>
  </si>
  <si>
    <t>2019 факт</t>
  </si>
  <si>
    <t>ДОХОДИ</t>
  </si>
  <si>
    <t>1.</t>
  </si>
  <si>
    <t>Бюджет розвитку (надходження)</t>
  </si>
  <si>
    <t>Податок на доходи фізичних осіб</t>
  </si>
  <si>
    <t xml:space="preserve">   надходження від відчуження майна</t>
  </si>
  <si>
    <t>КВ 7300</t>
  </si>
  <si>
    <t>разом 7300</t>
  </si>
  <si>
    <t>Податок на прибуток підприємств</t>
  </si>
  <si>
    <t xml:space="preserve">   надходження від продажу землі</t>
  </si>
  <si>
    <t>субв соц-економ</t>
  </si>
  <si>
    <t>Податок на майно, в т.ч.</t>
  </si>
  <si>
    <t xml:space="preserve">   пайові кошти інвесторів  (забудовників)</t>
  </si>
  <si>
    <t>2020 факт</t>
  </si>
  <si>
    <t>будівництво</t>
  </si>
  <si>
    <t>ВСЬОГО 2020</t>
  </si>
  <si>
    <t xml:space="preserve">    плата за землю</t>
  </si>
  <si>
    <t>Бюджет розвитку (витрати)</t>
  </si>
  <si>
    <t>2018 рік</t>
  </si>
  <si>
    <t>2019 рік</t>
  </si>
  <si>
    <t>весь</t>
  </si>
  <si>
    <t>різниця</t>
  </si>
  <si>
    <t xml:space="preserve">   транспортний податок</t>
  </si>
  <si>
    <t>Внески до статутних капіталів</t>
  </si>
  <si>
    <t>кв</t>
  </si>
  <si>
    <t>передача</t>
  </si>
  <si>
    <t>бр</t>
  </si>
  <si>
    <t>субвен</t>
  </si>
  <si>
    <t>субвенції передача</t>
  </si>
  <si>
    <t>соц-економ суб</t>
  </si>
  <si>
    <t>передача ЗФ</t>
  </si>
  <si>
    <t>передача ЗФ КВ</t>
  </si>
  <si>
    <t>БР</t>
  </si>
  <si>
    <t xml:space="preserve">Акцизний податок </t>
  </si>
  <si>
    <t>Капітальні видатки, в т. ч.</t>
  </si>
  <si>
    <t>Єдиний податок</t>
  </si>
  <si>
    <t xml:space="preserve">   Державне управління</t>
  </si>
  <si>
    <t>Інші</t>
  </si>
  <si>
    <t xml:space="preserve">   Освіта</t>
  </si>
  <si>
    <t>Cубвенції з державного бюджету, в т.ч.</t>
  </si>
  <si>
    <t xml:space="preserve">   Охорона здоров'я</t>
  </si>
  <si>
    <t xml:space="preserve">  освітня субвенція</t>
  </si>
  <si>
    <t xml:space="preserve">   Соціальний захист та соціальне забезпечення</t>
  </si>
  <si>
    <t xml:space="preserve">  субвенція на підготовку робітничих кадрів</t>
  </si>
  <si>
    <t xml:space="preserve">   Молодіжні програми</t>
  </si>
  <si>
    <t xml:space="preserve">  медична субвенція</t>
  </si>
  <si>
    <t xml:space="preserve">   Культура і мистецтво</t>
  </si>
  <si>
    <t xml:space="preserve">  субвенція на фінансування спортивних шкіл</t>
  </si>
  <si>
    <t xml:space="preserve">   Фізична культура та спорт</t>
  </si>
  <si>
    <t xml:space="preserve">  субвенція на соціальний захист</t>
  </si>
  <si>
    <t xml:space="preserve">   Житлово-комунальне господарство </t>
  </si>
  <si>
    <t xml:space="preserve">  субвенція на придбання житла</t>
  </si>
  <si>
    <t xml:space="preserve">   Транспорт, дорожнє господарство, зв'язок</t>
  </si>
  <si>
    <t xml:space="preserve">  субвенція на обслуговування боргу</t>
  </si>
  <si>
    <r>
      <t xml:space="preserve">   Інші видатки,</t>
    </r>
    <r>
      <rPr>
        <i/>
        <sz val="17"/>
        <rFont val="Times New Roman"/>
        <family val="1"/>
        <charset val="204"/>
      </rPr>
      <t xml:space="preserve"> в т.ч. надання кредитів, повернення залишків</t>
    </r>
  </si>
  <si>
    <t xml:space="preserve">  додаткова дотація</t>
  </si>
  <si>
    <t>Дефіцит/профіцит</t>
  </si>
  <si>
    <t>ВИДАТКИ</t>
  </si>
  <si>
    <t>Фінансування</t>
  </si>
  <si>
    <t>Державне управління</t>
  </si>
  <si>
    <t xml:space="preserve">зміна обсягів залишків коштів </t>
  </si>
  <si>
    <t>залишок без субвенції  ЗФ</t>
  </si>
  <si>
    <t>Освіта, в т.ч.</t>
  </si>
  <si>
    <t>Кошти, що передаються із заг. фонду бюджету до бюджету розвитку</t>
  </si>
  <si>
    <t xml:space="preserve">   субвенція з держбюжету</t>
  </si>
  <si>
    <t>Фінансування за рахунок позик банківських установ</t>
  </si>
  <si>
    <t>Охорона здоров'я, в т.ч.</t>
  </si>
  <si>
    <t>2.</t>
  </si>
  <si>
    <t>Цільові фонди (надходження), в т.ч.:</t>
  </si>
  <si>
    <t xml:space="preserve">    кошти, що надходять відповідно до інвестиційних угод </t>
  </si>
  <si>
    <t>Соціальний захист та соціальне забезпечення, в т.ч.</t>
  </si>
  <si>
    <t xml:space="preserve">    кошти від розташування об'єктів зовнішньої реклами</t>
  </si>
  <si>
    <t xml:space="preserve">    пайової участі (внеску) власників тимчасових споруд (МАФ)</t>
  </si>
  <si>
    <t>Культура і мистецтво</t>
  </si>
  <si>
    <t xml:space="preserve">    кошти від плати за місця для паркування транспорних засобів</t>
  </si>
  <si>
    <t>кошти, що надходять від сплати за договорами щодо розміщення засобів пересувної дрібнороздрібної торговельної мережі та об'єктів сезонної дрібнороздрібної торговельної мережі</t>
  </si>
  <si>
    <t>Засоби масової інформації</t>
  </si>
  <si>
    <t>Цільові фонди (витрати)</t>
  </si>
  <si>
    <t>Видатки установ, організацій, підприємств</t>
  </si>
  <si>
    <t>Фізична культура та спорт</t>
  </si>
  <si>
    <t>Утримання об’єктів благоустрою, ЖКГ</t>
  </si>
  <si>
    <t>Житлово-комунальне господарство</t>
  </si>
  <si>
    <t>Транспорт та транспортна інфраструктура, дорожнє господарство, зв'язок</t>
  </si>
  <si>
    <t>3.</t>
  </si>
  <si>
    <t>Інші цільові фонди (екологічний, відновна вартість, відшкодування втрат) (надходження) в т.ч.</t>
  </si>
  <si>
    <t xml:space="preserve"> грошові стягнення за забруднення навколишнього середовища</t>
  </si>
  <si>
    <t xml:space="preserve"> відновна вартість зелених насаджень</t>
  </si>
  <si>
    <t>Будівництво</t>
  </si>
  <si>
    <t xml:space="preserve"> відшкодування втрат с/г л/г виробництва</t>
  </si>
  <si>
    <t>Інші цільові фонди (екологічний, відновна вартість, відшкодування втрат) (витрати)</t>
  </si>
  <si>
    <t>Утримання рятувальної служби КП "Плесо" (заходи з організації рятування на водах)</t>
  </si>
  <si>
    <t>Охорона навколишнього природного середовища</t>
  </si>
  <si>
    <t>Створення та відновлення зелених насаджень</t>
  </si>
  <si>
    <t>Обслуговування боргу</t>
  </si>
  <si>
    <t>Лісове господарство</t>
  </si>
  <si>
    <t>Видатки не віднесені до основних груп, в т.ч.</t>
  </si>
  <si>
    <r>
      <t xml:space="preserve">   Резервний фонд</t>
    </r>
    <r>
      <rPr>
        <i/>
        <sz val="17"/>
        <color theme="0"/>
        <rFont val="Times New Roman"/>
        <family val="1"/>
        <charset val="204"/>
      </rPr>
      <t xml:space="preserve"> (в т.ч. громадський бюджет)</t>
    </r>
  </si>
  <si>
    <t>4.</t>
  </si>
  <si>
    <t>Дорожній фонд (надходження)</t>
  </si>
  <si>
    <t>Дорожній фонд (витрати)</t>
  </si>
  <si>
    <t>ДЕФІЦИТ(-) / ПРОФІЦИТ(+)</t>
  </si>
  <si>
    <t>Видатки на проведення робіт з будівництва, реконструкції, ремонту автомобільних доріг загальнодержавного значення</t>
  </si>
  <si>
    <t>КРЕДИТУВАННЯ (повернення (+), надання (-))</t>
  </si>
  <si>
    <t>ФІНАНСУВАННЯ</t>
  </si>
  <si>
    <t>5.</t>
  </si>
  <si>
    <t>Власні надходження бюджетних установ (надходження)</t>
  </si>
  <si>
    <t>Кошти, що передаються із загального фонду бюджету до бюджету розвитку (спеціального фонду)</t>
  </si>
  <si>
    <t xml:space="preserve">Видатки бюджетних установ за рахунок власних надходжень </t>
  </si>
  <si>
    <t>6.</t>
  </si>
  <si>
    <t>Cубвенції з державного бюджету</t>
  </si>
  <si>
    <t>Погашення заборгованості  з різниці в тарифах на теплову енергію</t>
  </si>
  <si>
    <t>доходи</t>
  </si>
  <si>
    <t>СПЕЦІАЛЬНИЙ ФОНД (надходження)</t>
  </si>
  <si>
    <t>видатки</t>
  </si>
  <si>
    <t>СПЕЦІАЛЬНИЙ ФОНД (витрати)</t>
  </si>
  <si>
    <t>залишки</t>
  </si>
  <si>
    <t>ДОХОДИ всього</t>
  </si>
  <si>
    <t>ВИДАТКИ всього</t>
  </si>
  <si>
    <t>ВСЬОГО СПЕЦІАЛЬНИЙ ФОНД</t>
  </si>
  <si>
    <t>Основні макропоказники бюджету м. Києва на 2021 -2023 роки</t>
  </si>
  <si>
    <t>Гранти (дарунки), що надійшли до бюджетів усіх рівнів</t>
  </si>
  <si>
    <t>Реалізація програм допомоги і грантів Європейського Союзу, урядів іноземних держав, міжнародних організацій, донорських установ</t>
  </si>
  <si>
    <t>7.</t>
  </si>
  <si>
    <t>2023 прогноз</t>
  </si>
  <si>
    <t>2023 проєкт</t>
  </si>
  <si>
    <t>2022                                      (факт)</t>
  </si>
  <si>
    <t>2021               (факт)</t>
  </si>
  <si>
    <t>Інші розрахунки (курсова різниця)</t>
  </si>
  <si>
    <t>2023                                                                                 (рішення 23.03.2023)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</si>
</sst>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"/>
    <numFmt numFmtId="165" formatCode="_-* #,##0.00_р_._-;\-* #,##0.00_р_._-;_-* &quot;-&quot;??_р_._-;_-@_-"/>
    <numFmt numFmtId="166" formatCode="#,##0.000"/>
    <numFmt numFmtId="167" formatCode="#,##0.00000"/>
    <numFmt numFmtId="168" formatCode="#,##0.0000"/>
  </numFmts>
  <fonts count="48" x14ac:knownFonts="1">
    <font>
      <sz val="10"/>
      <name val="Arial Cyr"/>
      <charset val="204"/>
    </font>
    <font>
      <sz val="10"/>
      <name val="Arial Cyr"/>
      <charset val="204"/>
    </font>
    <font>
      <b/>
      <sz val="22"/>
      <name val="Times New Roman"/>
      <family val="1"/>
      <charset val="204"/>
    </font>
    <font>
      <sz val="14"/>
      <name val="Times New Roman"/>
      <family val="1"/>
      <charset val="204"/>
    </font>
    <font>
      <sz val="10"/>
      <color rgb="FFFFFF00"/>
      <name val="Arial Cyr"/>
      <charset val="204"/>
    </font>
    <font>
      <b/>
      <sz val="12"/>
      <name val="Arial Cyr"/>
      <charset val="204"/>
    </font>
    <font>
      <i/>
      <sz val="10"/>
      <name val="Arial Cyr"/>
      <charset val="204"/>
    </font>
    <font>
      <sz val="14"/>
      <name val="Arial Cyr"/>
      <charset val="204"/>
    </font>
    <font>
      <b/>
      <sz val="18"/>
      <name val="Times New Roman"/>
      <family val="1"/>
      <charset val="204"/>
    </font>
    <font>
      <b/>
      <sz val="18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FFFF0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7"/>
      <name val="Times New Roman"/>
      <family val="1"/>
      <charset val="204"/>
    </font>
    <font>
      <b/>
      <sz val="16"/>
      <color rgb="FFFFFF00"/>
      <name val="Arial Cyr"/>
      <charset val="204"/>
    </font>
    <font>
      <sz val="17"/>
      <name val="Times New Roman"/>
      <family val="1"/>
      <charset val="204"/>
    </font>
    <font>
      <sz val="12"/>
      <color rgb="FFFFFF00"/>
      <name val="Arial Cyr"/>
      <charset val="204"/>
    </font>
    <font>
      <b/>
      <i/>
      <sz val="17"/>
      <color rgb="FFCCFF66"/>
      <name val="Times New Roman"/>
      <family val="1"/>
      <charset val="204"/>
    </font>
    <font>
      <i/>
      <sz val="17"/>
      <name val="Times New Roman"/>
      <family val="1"/>
      <charset val="204"/>
    </font>
    <font>
      <sz val="14"/>
      <color rgb="FFFFFF00"/>
      <name val="Times New Roman"/>
      <family val="1"/>
      <charset val="204"/>
    </font>
    <font>
      <b/>
      <sz val="12"/>
      <color rgb="FFCCFF66"/>
      <name val="Arial Cyr"/>
      <charset val="204"/>
    </font>
    <font>
      <b/>
      <sz val="17"/>
      <color rgb="FFCCFF66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7"/>
      <color rgb="FFFFFF00"/>
      <name val="Times New Roman"/>
      <family val="1"/>
      <charset val="204"/>
    </font>
    <font>
      <sz val="10"/>
      <color rgb="FFFF0000"/>
      <name val="Arial Cyr"/>
      <charset val="204"/>
    </font>
    <font>
      <b/>
      <sz val="14"/>
      <color rgb="FF000099"/>
      <name val="Times New Roman"/>
      <family val="1"/>
      <charset val="204"/>
    </font>
    <font>
      <sz val="17"/>
      <color rgb="FFFF0000"/>
      <name val="Times New Roman"/>
      <family val="1"/>
      <charset val="204"/>
    </font>
    <font>
      <sz val="17"/>
      <color rgb="FFFFFF00"/>
      <name val="Times New Roman"/>
      <family val="1"/>
      <charset val="204"/>
    </font>
    <font>
      <sz val="14"/>
      <color rgb="FF000099"/>
      <name val="Times New Roman"/>
      <family val="1"/>
      <charset val="204"/>
    </font>
    <font>
      <b/>
      <i/>
      <sz val="14"/>
      <color rgb="FF0070C0"/>
      <name val="Times New Roman"/>
      <family val="1"/>
      <charset val="204"/>
    </font>
    <font>
      <b/>
      <i/>
      <sz val="14"/>
      <color rgb="FFFFFF00"/>
      <name val="Times New Roman"/>
      <family val="1"/>
      <charset val="204"/>
    </font>
    <font>
      <i/>
      <sz val="14"/>
      <color rgb="FFFF0000"/>
      <name val="Times New Roman"/>
      <family val="1"/>
      <charset val="204"/>
    </font>
    <font>
      <b/>
      <i/>
      <sz val="14"/>
      <color rgb="FFFF0000"/>
      <name val="Times New Roman"/>
      <family val="1"/>
      <charset val="204"/>
    </font>
    <font>
      <b/>
      <sz val="14"/>
      <color rgb="FF0070C0"/>
      <name val="Times New Roman"/>
      <family val="1"/>
      <charset val="204"/>
    </font>
    <font>
      <b/>
      <sz val="14"/>
      <color theme="3"/>
      <name val="Times New Roman"/>
      <family val="1"/>
      <charset val="204"/>
    </font>
    <font>
      <b/>
      <sz val="17"/>
      <color indexed="8"/>
      <name val="Times New Roman"/>
      <family val="1"/>
      <charset val="204"/>
    </font>
    <font>
      <sz val="17"/>
      <color indexed="8"/>
      <name val="Times New Roman"/>
      <family val="1"/>
      <charset val="204"/>
    </font>
    <font>
      <sz val="16.5"/>
      <color indexed="8"/>
      <name val="Times New Roman"/>
      <family val="1"/>
      <charset val="204"/>
    </font>
    <font>
      <i/>
      <sz val="17"/>
      <color theme="0"/>
      <name val="Times New Roman"/>
      <family val="1"/>
      <charset val="204"/>
    </font>
    <font>
      <i/>
      <sz val="17"/>
      <color rgb="FFFF000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7"/>
      <color rgb="FFFF0000"/>
      <name val="Times New Roman"/>
      <family val="1"/>
      <charset val="204"/>
    </font>
    <font>
      <b/>
      <sz val="14"/>
      <color indexed="81"/>
      <name val="Tahoma"/>
      <family val="2"/>
      <charset val="204"/>
    </font>
    <font>
      <sz val="14"/>
      <color indexed="81"/>
      <name val="Tahoma"/>
      <family val="2"/>
      <charset val="204"/>
    </font>
    <font>
      <b/>
      <sz val="14"/>
      <color rgb="FFFFFF00"/>
      <name val="Arial Cyr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42" fillId="0" borderId="0"/>
  </cellStyleXfs>
  <cellXfs count="204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Border="1"/>
    <xf numFmtId="0" fontId="0" fillId="0" borderId="0" xfId="0" applyBorder="1"/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0" xfId="0" applyFont="1"/>
    <xf numFmtId="4" fontId="8" fillId="0" borderId="0" xfId="0" applyNumberFormat="1" applyFont="1" applyBorder="1" applyAlignment="1">
      <alignment horizontal="center" vertical="center"/>
    </xf>
    <xf numFmtId="4" fontId="9" fillId="0" borderId="0" xfId="0" applyNumberFormat="1" applyFont="1" applyBorder="1" applyAlignment="1">
      <alignment horizontal="center" vertical="center"/>
    </xf>
    <xf numFmtId="4" fontId="10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11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5" fillId="0" borderId="2" xfId="0" applyFont="1" applyBorder="1" applyAlignment="1">
      <alignment horizontal="center" vertical="center"/>
    </xf>
    <xf numFmtId="1" fontId="15" fillId="0" borderId="2" xfId="0" applyNumberFormat="1" applyFont="1" applyBorder="1" applyAlignment="1">
      <alignment horizontal="center" vertical="center"/>
    </xf>
    <xf numFmtId="1" fontId="15" fillId="0" borderId="2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4" fontId="15" fillId="2" borderId="2" xfId="1" applyNumberFormat="1" applyFont="1" applyFill="1" applyBorder="1" applyAlignment="1">
      <alignment horizontal="right" vertical="center"/>
    </xf>
    <xf numFmtId="0" fontId="15" fillId="0" borderId="0" xfId="0" applyFont="1" applyBorder="1" applyAlignment="1">
      <alignment vertical="center"/>
    </xf>
    <xf numFmtId="0" fontId="15" fillId="2" borderId="2" xfId="0" applyFont="1" applyFill="1" applyBorder="1" applyAlignment="1">
      <alignment vertical="center"/>
    </xf>
    <xf numFmtId="0" fontId="17" fillId="0" borderId="2" xfId="0" applyFont="1" applyBorder="1" applyAlignment="1">
      <alignment vertical="center"/>
    </xf>
    <xf numFmtId="4" fontId="17" fillId="0" borderId="2" xfId="1" applyNumberFormat="1" applyFont="1" applyBorder="1" applyAlignment="1">
      <alignment horizontal="right" vertical="center"/>
    </xf>
    <xf numFmtId="0" fontId="16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4" fontId="17" fillId="0" borderId="2" xfId="1" applyNumberFormat="1" applyFont="1" applyFill="1" applyBorder="1" applyAlignment="1">
      <alignment horizontal="right" vertical="center"/>
    </xf>
    <xf numFmtId="4" fontId="19" fillId="0" borderId="0" xfId="1" applyNumberFormat="1" applyFont="1" applyBorder="1" applyAlignment="1">
      <alignment horizontal="right" vertical="center"/>
    </xf>
    <xf numFmtId="0" fontId="20" fillId="0" borderId="2" xfId="0" applyFont="1" applyBorder="1" applyAlignment="1">
      <alignment vertical="center"/>
    </xf>
    <xf numFmtId="4" fontId="20" fillId="0" borderId="2" xfId="1" applyNumberFormat="1" applyFont="1" applyBorder="1" applyAlignment="1">
      <alignment horizontal="right" vertical="center"/>
    </xf>
    <xf numFmtId="0" fontId="15" fillId="3" borderId="2" xfId="0" applyFont="1" applyFill="1" applyBorder="1" applyAlignment="1">
      <alignment horizontal="left" vertical="center"/>
    </xf>
    <xf numFmtId="4" fontId="15" fillId="3" borderId="2" xfId="1" applyNumberFormat="1" applyFont="1" applyFill="1" applyBorder="1" applyAlignment="1">
      <alignment horizontal="right" vertical="center"/>
    </xf>
    <xf numFmtId="4" fontId="3" fillId="0" borderId="0" xfId="0" applyNumberFormat="1" applyFont="1" applyAlignment="1">
      <alignment vertical="center"/>
    </xf>
    <xf numFmtId="0" fontId="21" fillId="0" borderId="0" xfId="0" applyFont="1" applyBorder="1" applyAlignment="1">
      <alignment horizontal="center" vertical="center"/>
    </xf>
    <xf numFmtId="0" fontId="22" fillId="0" borderId="0" xfId="0" applyFont="1" applyAlignment="1">
      <alignment horizontal="center"/>
    </xf>
    <xf numFmtId="4" fontId="23" fillId="0" borderId="0" xfId="1" applyNumberFormat="1" applyFont="1" applyBorder="1" applyAlignment="1">
      <alignment horizontal="right" vertic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/>
    <xf numFmtId="0" fontId="7" fillId="0" borderId="2" xfId="0" applyFont="1" applyBorder="1" applyAlignment="1"/>
    <xf numFmtId="0" fontId="15" fillId="0" borderId="2" xfId="0" applyFont="1" applyBorder="1" applyAlignment="1">
      <alignment vertical="center"/>
    </xf>
    <xf numFmtId="4" fontId="15" fillId="0" borderId="2" xfId="1" applyNumberFormat="1" applyFont="1" applyBorder="1" applyAlignment="1">
      <alignment horizontal="right" vertical="center"/>
    </xf>
    <xf numFmtId="4" fontId="15" fillId="0" borderId="2" xfId="1" applyNumberFormat="1" applyFont="1" applyFill="1" applyBorder="1" applyAlignment="1">
      <alignment horizontal="right" vertical="center"/>
    </xf>
    <xf numFmtId="0" fontId="24" fillId="0" borderId="0" xfId="0" applyFont="1" applyAlignment="1">
      <alignment horizontal="center" vertical="center"/>
    </xf>
    <xf numFmtId="0" fontId="24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4" fontId="0" fillId="0" borderId="0" xfId="0" applyNumberFormat="1"/>
    <xf numFmtId="0" fontId="14" fillId="0" borderId="0" xfId="0" applyFont="1" applyAlignment="1">
      <alignment horizontal="center" vertical="center"/>
    </xf>
    <xf numFmtId="0" fontId="14" fillId="4" borderId="0" xfId="0" applyFont="1" applyFill="1" applyAlignment="1">
      <alignment horizontal="center" vertical="center"/>
    </xf>
    <xf numFmtId="4" fontId="10" fillId="0" borderId="2" xfId="1" applyNumberFormat="1" applyFont="1" applyBorder="1" applyAlignment="1">
      <alignment horizontal="right" vertical="center"/>
    </xf>
    <xf numFmtId="4" fontId="11" fillId="0" borderId="2" xfId="1" applyNumberFormat="1" applyFont="1" applyBorder="1" applyAlignment="1">
      <alignment horizontal="right" vertical="center"/>
    </xf>
    <xf numFmtId="4" fontId="25" fillId="0" borderId="2" xfId="1" applyNumberFormat="1" applyFont="1" applyBorder="1" applyAlignment="1">
      <alignment horizontal="right" vertical="center"/>
    </xf>
    <xf numFmtId="4" fontId="25" fillId="0" borderId="3" xfId="1" applyNumberFormat="1" applyFont="1" applyBorder="1" applyAlignment="1">
      <alignment horizontal="right" vertical="center"/>
    </xf>
    <xf numFmtId="4" fontId="12" fillId="0" borderId="3" xfId="1" applyNumberFormat="1" applyFont="1" applyBorder="1" applyAlignment="1">
      <alignment horizontal="right" vertical="center"/>
    </xf>
    <xf numFmtId="0" fontId="26" fillId="0" borderId="2" xfId="0" applyFont="1" applyBorder="1"/>
    <xf numFmtId="4" fontId="25" fillId="0" borderId="0" xfId="1" applyNumberFormat="1" applyFont="1" applyBorder="1" applyAlignment="1">
      <alignment horizontal="right" vertical="center"/>
    </xf>
    <xf numFmtId="4" fontId="15" fillId="0" borderId="0" xfId="1" applyNumberFormat="1" applyFont="1" applyBorder="1" applyAlignment="1">
      <alignment horizontal="right" vertical="center"/>
    </xf>
    <xf numFmtId="4" fontId="17" fillId="0" borderId="0" xfId="1" applyNumberFormat="1" applyFont="1" applyBorder="1" applyAlignment="1">
      <alignment horizontal="right" vertical="center"/>
    </xf>
    <xf numFmtId="166" fontId="10" fillId="0" borderId="0" xfId="0" applyNumberFormat="1" applyFont="1" applyAlignment="1">
      <alignment vertical="center"/>
    </xf>
    <xf numFmtId="166" fontId="27" fillId="5" borderId="0" xfId="0" applyNumberFormat="1" applyFont="1" applyFill="1" applyAlignment="1">
      <alignment vertical="center"/>
    </xf>
    <xf numFmtId="166" fontId="27" fillId="0" borderId="0" xfId="0" applyNumberFormat="1" applyFont="1" applyAlignment="1">
      <alignment vertical="center"/>
    </xf>
    <xf numFmtId="166" fontId="27" fillId="4" borderId="0" xfId="0" applyNumberFormat="1" applyFont="1" applyFill="1" applyAlignment="1">
      <alignment vertical="center"/>
    </xf>
    <xf numFmtId="4" fontId="28" fillId="0" borderId="2" xfId="1" applyNumberFormat="1" applyFont="1" applyBorder="1" applyAlignment="1">
      <alignment horizontal="right" vertical="center"/>
    </xf>
    <xf numFmtId="4" fontId="24" fillId="0" borderId="0" xfId="0" applyNumberFormat="1" applyFont="1" applyAlignment="1">
      <alignment vertical="center"/>
    </xf>
    <xf numFmtId="4" fontId="29" fillId="0" borderId="2" xfId="1" applyNumberFormat="1" applyFont="1" applyBorder="1" applyAlignment="1">
      <alignment horizontal="right" vertical="center"/>
    </xf>
    <xf numFmtId="4" fontId="29" fillId="0" borderId="3" xfId="1" applyNumberFormat="1" applyFont="1" applyBorder="1" applyAlignment="1">
      <alignment horizontal="right" vertical="center"/>
    </xf>
    <xf numFmtId="4" fontId="21" fillId="0" borderId="3" xfId="1" applyNumberFormat="1" applyFont="1" applyBorder="1" applyAlignment="1">
      <alignment horizontal="right" vertical="center"/>
    </xf>
    <xf numFmtId="4" fontId="29" fillId="0" borderId="0" xfId="1" applyNumberFormat="1" applyFont="1" applyBorder="1" applyAlignment="1">
      <alignment horizontal="right" vertical="center"/>
    </xf>
    <xf numFmtId="167" fontId="17" fillId="0" borderId="2" xfId="1" applyNumberFormat="1" applyFont="1" applyBorder="1" applyAlignment="1">
      <alignment horizontal="right" vertical="center"/>
    </xf>
    <xf numFmtId="167" fontId="0" fillId="0" borderId="2" xfId="0" applyNumberFormat="1" applyBorder="1"/>
    <xf numFmtId="166" fontId="3" fillId="0" borderId="2" xfId="0" applyNumberFormat="1" applyFont="1" applyBorder="1" applyAlignment="1">
      <alignment vertical="center"/>
    </xf>
    <xf numFmtId="166" fontId="30" fillId="0" borderId="2" xfId="0" applyNumberFormat="1" applyFont="1" applyBorder="1" applyAlignment="1">
      <alignment vertical="center"/>
    </xf>
    <xf numFmtId="166" fontId="31" fillId="0" borderId="2" xfId="0" applyNumberFormat="1" applyFont="1" applyBorder="1" applyAlignment="1">
      <alignment vertical="center"/>
    </xf>
    <xf numFmtId="166" fontId="31" fillId="4" borderId="2" xfId="0" applyNumberFormat="1" applyFont="1" applyFill="1" applyBorder="1" applyAlignment="1">
      <alignment vertical="center"/>
    </xf>
    <xf numFmtId="4" fontId="17" fillId="0" borderId="2" xfId="0" applyNumberFormat="1" applyFont="1" applyBorder="1" applyAlignment="1">
      <alignment horizontal="right" vertical="center"/>
    </xf>
    <xf numFmtId="166" fontId="30" fillId="5" borderId="2" xfId="0" applyNumberFormat="1" applyFont="1" applyFill="1" applyBorder="1" applyAlignment="1">
      <alignment vertical="center"/>
    </xf>
    <xf numFmtId="166" fontId="32" fillId="4" borderId="2" xfId="0" applyNumberFormat="1" applyFont="1" applyFill="1" applyBorder="1" applyAlignment="1">
      <alignment vertical="center"/>
    </xf>
    <xf numFmtId="0" fontId="15" fillId="0" borderId="2" xfId="0" applyFont="1" applyBorder="1" applyAlignment="1">
      <alignment vertical="center" wrapText="1"/>
    </xf>
    <xf numFmtId="166" fontId="29" fillId="0" borderId="0" xfId="1" applyNumberFormat="1" applyFont="1" applyBorder="1" applyAlignment="1">
      <alignment horizontal="right" vertical="center"/>
    </xf>
    <xf numFmtId="0" fontId="17" fillId="0" borderId="2" xfId="0" applyFont="1" applyBorder="1" applyAlignment="1">
      <alignment vertical="center" wrapText="1"/>
    </xf>
    <xf numFmtId="4" fontId="17" fillId="6" borderId="2" xfId="1" applyNumberFormat="1" applyFont="1" applyFill="1" applyBorder="1" applyAlignment="1">
      <alignment horizontal="right" vertical="center"/>
    </xf>
    <xf numFmtId="166" fontId="32" fillId="0" borderId="2" xfId="0" applyNumberFormat="1" applyFont="1" applyBorder="1" applyAlignment="1">
      <alignment vertical="center"/>
    </xf>
    <xf numFmtId="4" fontId="28" fillId="6" borderId="2" xfId="1" applyNumberFormat="1" applyFont="1" applyFill="1" applyBorder="1" applyAlignment="1">
      <alignment horizontal="right" vertical="center"/>
    </xf>
    <xf numFmtId="4" fontId="24" fillId="5" borderId="0" xfId="0" applyNumberFormat="1" applyFont="1" applyFill="1" applyAlignment="1">
      <alignment vertical="center"/>
    </xf>
    <xf numFmtId="4" fontId="24" fillId="4" borderId="0" xfId="0" applyNumberFormat="1" applyFont="1" applyFill="1" applyAlignment="1">
      <alignment vertical="center"/>
    </xf>
    <xf numFmtId="167" fontId="28" fillId="0" borderId="2" xfId="1" applyNumberFormat="1" applyFont="1" applyBorder="1" applyAlignment="1">
      <alignment horizontal="right" vertical="center"/>
    </xf>
    <xf numFmtId="0" fontId="15" fillId="7" borderId="2" xfId="0" applyFont="1" applyFill="1" applyBorder="1" applyAlignment="1">
      <alignment vertical="center"/>
    </xf>
    <xf numFmtId="4" fontId="15" fillId="7" borderId="2" xfId="1" applyNumberFormat="1" applyFont="1" applyFill="1" applyBorder="1" applyAlignment="1">
      <alignment horizontal="right" vertical="center"/>
    </xf>
    <xf numFmtId="166" fontId="33" fillId="0" borderId="2" xfId="0" applyNumberFormat="1" applyFont="1" applyBorder="1" applyAlignment="1">
      <alignment vertical="center"/>
    </xf>
    <xf numFmtId="166" fontId="3" fillId="4" borderId="2" xfId="0" applyNumberFormat="1" applyFont="1" applyFill="1" applyBorder="1" applyAlignment="1">
      <alignment vertical="center"/>
    </xf>
    <xf numFmtId="0" fontId="15" fillId="3" borderId="2" xfId="0" applyFont="1" applyFill="1" applyBorder="1" applyAlignment="1">
      <alignment horizontal="center" vertical="center"/>
    </xf>
    <xf numFmtId="4" fontId="15" fillId="3" borderId="2" xfId="0" applyNumberFormat="1" applyFont="1" applyFill="1" applyBorder="1" applyAlignment="1">
      <alignment horizontal="right" vertical="center"/>
    </xf>
    <xf numFmtId="167" fontId="11" fillId="0" borderId="0" xfId="0" applyNumberFormat="1" applyFont="1" applyAlignment="1">
      <alignment vertical="center"/>
    </xf>
    <xf numFmtId="166" fontId="11" fillId="0" borderId="0" xfId="0" applyNumberFormat="1" applyFont="1" applyAlignment="1">
      <alignment vertical="center"/>
    </xf>
    <xf numFmtId="166" fontId="11" fillId="4" borderId="0" xfId="0" applyNumberFormat="1" applyFont="1" applyFill="1" applyAlignment="1">
      <alignment vertical="center"/>
    </xf>
    <xf numFmtId="0" fontId="34" fillId="0" borderId="0" xfId="0" applyFont="1" applyAlignment="1">
      <alignment vertical="center"/>
    </xf>
    <xf numFmtId="167" fontId="0" fillId="0" borderId="0" xfId="0" applyNumberFormat="1"/>
    <xf numFmtId="166" fontId="3" fillId="0" borderId="0" xfId="0" applyNumberFormat="1" applyFont="1" applyAlignment="1">
      <alignment vertical="center"/>
    </xf>
    <xf numFmtId="166" fontId="3" fillId="4" borderId="0" xfId="0" applyNumberFormat="1" applyFont="1" applyFill="1" applyAlignment="1">
      <alignment vertical="center"/>
    </xf>
    <xf numFmtId="0" fontId="17" fillId="0" borderId="2" xfId="0" applyFont="1" applyFill="1" applyBorder="1" applyAlignment="1">
      <alignment vertical="center" wrapText="1"/>
    </xf>
    <xf numFmtId="166" fontId="35" fillId="0" borderId="0" xfId="0" applyNumberFormat="1" applyFont="1" applyAlignment="1">
      <alignment vertical="center"/>
    </xf>
    <xf numFmtId="166" fontId="35" fillId="4" borderId="0" xfId="0" applyNumberFormat="1" applyFont="1" applyFill="1" applyAlignment="1">
      <alignment vertical="center"/>
    </xf>
    <xf numFmtId="4" fontId="20" fillId="0" borderId="2" xfId="1" applyNumberFormat="1" applyFont="1" applyFill="1" applyBorder="1" applyAlignment="1">
      <alignment horizontal="right" vertical="center"/>
    </xf>
    <xf numFmtId="166" fontId="36" fillId="0" borderId="0" xfId="0" applyNumberFormat="1" applyFont="1" applyAlignment="1">
      <alignment vertical="center"/>
    </xf>
    <xf numFmtId="166" fontId="12" fillId="0" borderId="0" xfId="0" applyNumberFormat="1" applyFont="1" applyAlignment="1">
      <alignment vertical="center"/>
    </xf>
    <xf numFmtId="166" fontId="12" fillId="4" borderId="0" xfId="0" applyNumberFormat="1" applyFont="1" applyFill="1" applyAlignment="1">
      <alignment vertical="center"/>
    </xf>
    <xf numFmtId="0" fontId="37" fillId="2" borderId="2" xfId="0" applyFont="1" applyFill="1" applyBorder="1" applyAlignment="1">
      <alignment vertical="center" wrapText="1"/>
    </xf>
    <xf numFmtId="0" fontId="38" fillId="0" borderId="2" xfId="0" applyFont="1" applyBorder="1" applyAlignment="1">
      <alignment vertical="center" wrapText="1"/>
    </xf>
    <xf numFmtId="0" fontId="38" fillId="0" borderId="2" xfId="0" applyFont="1" applyBorder="1" applyAlignment="1">
      <alignment vertical="center"/>
    </xf>
    <xf numFmtId="0" fontId="39" fillId="0" borderId="2" xfId="0" applyFont="1" applyBorder="1" applyAlignment="1">
      <alignment horizontal="left" vertical="center" wrapText="1" indent="2"/>
    </xf>
    <xf numFmtId="4" fontId="21" fillId="0" borderId="0" xfId="0" applyNumberFormat="1" applyFont="1" applyAlignment="1">
      <alignment vertical="center"/>
    </xf>
    <xf numFmtId="4" fontId="17" fillId="4" borderId="2" xfId="1" applyNumberFormat="1" applyFont="1" applyFill="1" applyBorder="1" applyAlignment="1">
      <alignment horizontal="right" vertical="center"/>
    </xf>
    <xf numFmtId="0" fontId="37" fillId="3" borderId="2" xfId="0" applyFont="1" applyFill="1" applyBorder="1" applyAlignment="1">
      <alignment vertical="center" wrapText="1"/>
    </xf>
    <xf numFmtId="0" fontId="17" fillId="0" borderId="2" xfId="0" applyFont="1" applyFill="1" applyBorder="1" applyAlignment="1">
      <alignment vertical="center"/>
    </xf>
    <xf numFmtId="0" fontId="40" fillId="0" borderId="2" xfId="0" applyFont="1" applyBorder="1" applyAlignment="1">
      <alignment vertical="center"/>
    </xf>
    <xf numFmtId="4" fontId="41" fillId="0" borderId="2" xfId="1" applyNumberFormat="1" applyFont="1" applyBorder="1" applyAlignment="1">
      <alignment horizontal="right" vertical="center"/>
    </xf>
    <xf numFmtId="0" fontId="38" fillId="6" borderId="2" xfId="0" applyFont="1" applyFill="1" applyBorder="1" applyAlignment="1">
      <alignment vertical="center" wrapText="1"/>
    </xf>
    <xf numFmtId="0" fontId="20" fillId="0" borderId="2" xfId="0" applyFont="1" applyBorder="1" applyAlignment="1">
      <alignment vertical="center" wrapText="1"/>
    </xf>
    <xf numFmtId="0" fontId="38" fillId="0" borderId="2" xfId="0" applyFont="1" applyFill="1" applyBorder="1" applyAlignment="1">
      <alignment horizontal="left" vertical="center"/>
    </xf>
    <xf numFmtId="0" fontId="38" fillId="0" borderId="2" xfId="0" applyFont="1" applyFill="1" applyBorder="1" applyAlignment="1">
      <alignment vertical="center"/>
    </xf>
    <xf numFmtId="4" fontId="20" fillId="0" borderId="2" xfId="0" applyNumberFormat="1" applyFont="1" applyBorder="1" applyAlignment="1">
      <alignment horizontal="right" vertical="center"/>
    </xf>
    <xf numFmtId="4" fontId="28" fillId="0" borderId="2" xfId="0" applyNumberFormat="1" applyFont="1" applyBorder="1" applyAlignment="1">
      <alignment horizontal="right" vertical="center"/>
    </xf>
    <xf numFmtId="0" fontId="37" fillId="7" borderId="2" xfId="0" applyFont="1" applyFill="1" applyBorder="1" applyAlignment="1">
      <alignment vertical="center"/>
    </xf>
    <xf numFmtId="0" fontId="37" fillId="2" borderId="2" xfId="0" applyFont="1" applyFill="1" applyBorder="1" applyAlignment="1">
      <alignment vertical="center"/>
    </xf>
    <xf numFmtId="0" fontId="37" fillId="3" borderId="2" xfId="0" applyFont="1" applyFill="1" applyBorder="1" applyAlignment="1">
      <alignment vertical="center"/>
    </xf>
    <xf numFmtId="4" fontId="15" fillId="7" borderId="2" xfId="0" applyNumberFormat="1" applyFont="1" applyFill="1" applyBorder="1" applyAlignment="1">
      <alignment horizontal="right" vertical="center"/>
    </xf>
    <xf numFmtId="0" fontId="38" fillId="0" borderId="2" xfId="0" applyFont="1" applyFill="1" applyBorder="1" applyAlignment="1">
      <alignment vertical="center" wrapText="1"/>
    </xf>
    <xf numFmtId="4" fontId="17" fillId="0" borderId="2" xfId="0" applyNumberFormat="1" applyFont="1" applyFill="1" applyBorder="1" applyAlignment="1">
      <alignment horizontal="right" vertical="center"/>
    </xf>
    <xf numFmtId="4" fontId="26" fillId="0" borderId="0" xfId="0" applyNumberFormat="1" applyFont="1"/>
    <xf numFmtId="4" fontId="17" fillId="0" borderId="0" xfId="1" applyNumberFormat="1" applyFont="1" applyFill="1" applyBorder="1" applyAlignment="1">
      <alignment horizontal="right" vertical="center"/>
    </xf>
    <xf numFmtId="4" fontId="28" fillId="0" borderId="0" xfId="1" applyNumberFormat="1" applyFont="1" applyBorder="1" applyAlignment="1">
      <alignment horizontal="right" vertical="center"/>
    </xf>
    <xf numFmtId="4" fontId="3" fillId="0" borderId="0" xfId="1" applyNumberFormat="1" applyFont="1" applyBorder="1" applyAlignment="1">
      <alignment horizontal="right" vertical="center"/>
    </xf>
    <xf numFmtId="4" fontId="24" fillId="0" borderId="0" xfId="1" applyNumberFormat="1" applyFont="1" applyBorder="1" applyAlignment="1">
      <alignment horizontal="right" vertical="center"/>
    </xf>
    <xf numFmtId="0" fontId="3" fillId="2" borderId="2" xfId="0" applyFont="1" applyFill="1" applyBorder="1" applyAlignment="1">
      <alignment vertical="center"/>
    </xf>
    <xf numFmtId="4" fontId="15" fillId="2" borderId="2" xfId="0" applyNumberFormat="1" applyFont="1" applyFill="1" applyBorder="1" applyAlignment="1">
      <alignment horizontal="right" vertical="center"/>
    </xf>
    <xf numFmtId="0" fontId="17" fillId="0" borderId="0" xfId="0" applyFont="1" applyFill="1" applyBorder="1" applyAlignment="1">
      <alignment vertical="center" wrapText="1"/>
    </xf>
    <xf numFmtId="0" fontId="37" fillId="3" borderId="5" xfId="0" applyFont="1" applyFill="1" applyBorder="1" applyAlignment="1">
      <alignment vertical="center" wrapText="1"/>
    </xf>
    <xf numFmtId="4" fontId="3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horizontal="right" vertical="center"/>
    </xf>
    <xf numFmtId="0" fontId="37" fillId="2" borderId="5" xfId="0" applyFont="1" applyFill="1" applyBorder="1" applyAlignment="1">
      <alignment vertical="center"/>
    </xf>
    <xf numFmtId="0" fontId="17" fillId="0" borderId="0" xfId="0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4" fontId="17" fillId="0" borderId="0" xfId="0" applyNumberFormat="1" applyFont="1" applyBorder="1" applyAlignment="1">
      <alignment horizontal="left" vertical="center"/>
    </xf>
    <xf numFmtId="0" fontId="37" fillId="3" borderId="5" xfId="0" applyFont="1" applyFill="1" applyBorder="1" applyAlignment="1">
      <alignment vertical="center"/>
    </xf>
    <xf numFmtId="0" fontId="28" fillId="0" borderId="0" xfId="0" applyFont="1" applyBorder="1" applyAlignment="1">
      <alignment horizontal="left" vertical="center" wrapText="1"/>
    </xf>
    <xf numFmtId="0" fontId="15" fillId="7" borderId="5" xfId="0" applyFont="1" applyFill="1" applyBorder="1" applyAlignment="1">
      <alignment vertical="center"/>
    </xf>
    <xf numFmtId="0" fontId="17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164" fontId="17" fillId="0" borderId="0" xfId="0" applyNumberFormat="1" applyFont="1" applyAlignment="1">
      <alignment horizontal="left" vertical="center"/>
    </xf>
    <xf numFmtId="166" fontId="15" fillId="7" borderId="2" xfId="0" applyNumberFormat="1" applyFont="1" applyFill="1" applyBorder="1" applyAlignment="1">
      <alignment horizontal="right" vertical="center"/>
    </xf>
    <xf numFmtId="164" fontId="43" fillId="6" borderId="0" xfId="2" applyNumberFormat="1" applyFont="1" applyFill="1" applyBorder="1" applyAlignment="1">
      <alignment horizontal="right" vertical="center" wrapText="1"/>
    </xf>
    <xf numFmtId="0" fontId="15" fillId="2" borderId="2" xfId="0" applyFont="1" applyFill="1" applyBorder="1" applyAlignment="1">
      <alignment horizontal="left" vertical="center"/>
    </xf>
    <xf numFmtId="166" fontId="10" fillId="3" borderId="2" xfId="0" applyNumberFormat="1" applyFont="1" applyFill="1" applyBorder="1" applyAlignment="1">
      <alignment horizontal="right" vertical="center"/>
    </xf>
    <xf numFmtId="4" fontId="15" fillId="0" borderId="0" xfId="1" applyNumberFormat="1" applyFont="1" applyFill="1" applyBorder="1" applyAlignment="1">
      <alignment horizontal="right" vertical="center"/>
    </xf>
    <xf numFmtId="4" fontId="44" fillId="0" borderId="0" xfId="1" applyNumberFormat="1" applyFont="1" applyFill="1" applyBorder="1" applyAlignment="1">
      <alignment horizontal="right" vertical="center"/>
    </xf>
    <xf numFmtId="4" fontId="10" fillId="0" borderId="0" xfId="0" applyNumberFormat="1" applyFont="1" applyAlignment="1">
      <alignment vertical="center"/>
    </xf>
    <xf numFmtId="0" fontId="37" fillId="0" borderId="0" xfId="0" applyFont="1" applyBorder="1" applyAlignment="1">
      <alignment vertical="center"/>
    </xf>
    <xf numFmtId="0" fontId="15" fillId="0" borderId="5" xfId="0" applyFont="1" applyBorder="1" applyAlignment="1">
      <alignment vertical="center"/>
    </xf>
    <xf numFmtId="4" fontId="15" fillId="6" borderId="2" xfId="0" applyNumberFormat="1" applyFont="1" applyFill="1" applyBorder="1" applyAlignment="1">
      <alignment vertical="center"/>
    </xf>
    <xf numFmtId="4" fontId="15" fillId="8" borderId="0" xfId="0" applyNumberFormat="1" applyFont="1" applyFill="1" applyBorder="1" applyAlignment="1">
      <alignment horizontal="right" vertical="center"/>
    </xf>
    <xf numFmtId="0" fontId="10" fillId="6" borderId="0" xfId="0" applyFont="1" applyFill="1" applyAlignment="1">
      <alignment vertical="center"/>
    </xf>
    <xf numFmtId="0" fontId="11" fillId="6" borderId="0" xfId="0" applyFont="1" applyFill="1" applyAlignment="1">
      <alignment vertical="center"/>
    </xf>
    <xf numFmtId="164" fontId="3" fillId="0" borderId="0" xfId="0" applyNumberFormat="1" applyFont="1" applyBorder="1" applyAlignment="1">
      <alignment horizontal="right" vertical="center"/>
    </xf>
    <xf numFmtId="4" fontId="15" fillId="9" borderId="0" xfId="0" applyNumberFormat="1" applyFont="1" applyFill="1" applyBorder="1" applyAlignment="1">
      <alignment horizontal="right" vertical="center"/>
    </xf>
    <xf numFmtId="164" fontId="3" fillId="0" borderId="0" xfId="0" applyNumberFormat="1" applyFont="1" applyAlignment="1">
      <alignment horizontal="right" vertical="center"/>
    </xf>
    <xf numFmtId="164" fontId="24" fillId="0" borderId="0" xfId="0" applyNumberFormat="1" applyFont="1" applyAlignment="1">
      <alignment horizontal="right" vertical="center"/>
    </xf>
    <xf numFmtId="167" fontId="24" fillId="0" borderId="0" xfId="0" applyNumberFormat="1" applyFont="1" applyAlignment="1">
      <alignment vertical="center"/>
    </xf>
    <xf numFmtId="0" fontId="26" fillId="0" borderId="0" xfId="0" applyFont="1"/>
    <xf numFmtId="0" fontId="0" fillId="0" borderId="0" xfId="0" applyFont="1"/>
    <xf numFmtId="4" fontId="10" fillId="6" borderId="0" xfId="0" applyNumberFormat="1" applyFont="1" applyFill="1" applyAlignment="1">
      <alignment vertical="center"/>
    </xf>
    <xf numFmtId="168" fontId="17" fillId="0" borderId="2" xfId="1" applyNumberFormat="1" applyFont="1" applyBorder="1" applyAlignment="1">
      <alignment horizontal="right" vertical="center"/>
    </xf>
    <xf numFmtId="4" fontId="24" fillId="0" borderId="2" xfId="1" applyNumberFormat="1" applyFont="1" applyBorder="1" applyAlignment="1">
      <alignment horizontal="right" vertical="center"/>
    </xf>
    <xf numFmtId="4" fontId="3" fillId="0" borderId="2" xfId="1" applyNumberFormat="1" applyFont="1" applyBorder="1" applyAlignment="1">
      <alignment horizontal="right" vertical="center"/>
    </xf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47" fillId="0" borderId="0" xfId="0" applyFont="1"/>
    <xf numFmtId="0" fontId="2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37" fillId="0" borderId="2" xfId="0" applyFont="1" applyBorder="1" applyAlignment="1">
      <alignment horizontal="center" vertical="top"/>
    </xf>
    <xf numFmtId="0" fontId="37" fillId="0" borderId="9" xfId="0" applyFont="1" applyBorder="1" applyAlignment="1">
      <alignment horizontal="center" vertical="top"/>
    </xf>
    <xf numFmtId="0" fontId="37" fillId="0" borderId="7" xfId="0" applyFont="1" applyBorder="1" applyAlignment="1">
      <alignment horizontal="center" vertical="top"/>
    </xf>
    <xf numFmtId="0" fontId="37" fillId="0" borderId="8" xfId="0" applyFont="1" applyBorder="1" applyAlignment="1">
      <alignment horizontal="center" vertical="top"/>
    </xf>
    <xf numFmtId="0" fontId="15" fillId="0" borderId="9" xfId="0" applyFont="1" applyBorder="1" applyAlignment="1">
      <alignment horizontal="center" vertical="top"/>
    </xf>
    <xf numFmtId="0" fontId="15" fillId="0" borderId="8" xfId="0" applyFont="1" applyBorder="1" applyAlignment="1">
      <alignment horizontal="center" vertical="top"/>
    </xf>
    <xf numFmtId="0" fontId="15" fillId="0" borderId="7" xfId="0" applyFont="1" applyBorder="1" applyAlignment="1">
      <alignment horizontal="center" vertical="top"/>
    </xf>
    <xf numFmtId="0" fontId="15" fillId="0" borderId="9" xfId="0" applyFont="1" applyFill="1" applyBorder="1" applyAlignment="1">
      <alignment horizontal="center" vertical="top"/>
    </xf>
    <xf numFmtId="0" fontId="15" fillId="0" borderId="8" xfId="0" applyFont="1" applyFill="1" applyBorder="1" applyAlignment="1">
      <alignment horizontal="center" vertical="top"/>
    </xf>
    <xf numFmtId="0" fontId="15" fillId="0" borderId="7" xfId="0" applyFont="1" applyFill="1" applyBorder="1" applyAlignment="1">
      <alignment horizontal="center" vertical="top"/>
    </xf>
  </cellXfs>
  <cellStyles count="3">
    <cellStyle name="Normal_Доходи" xfId="2"/>
    <cellStyle name="Звичайний" xfId="0" builtinId="0"/>
    <cellStyle name="Фінансовий" xfId="1" builtinId="3"/>
  </cellStyles>
  <dxfs count="0"/>
  <tableStyles count="0" defaultTableStyle="TableStyleMedium2" defaultPivotStyle="PivotStyleLight16"/>
  <colors>
    <mruColors>
      <color rgb="FF421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BV81"/>
  <sheetViews>
    <sheetView showGridLines="0" tabSelected="1" view="pageBreakPreview" zoomScale="55" zoomScaleNormal="70" zoomScaleSheetLayoutView="55" workbookViewId="0">
      <selection activeCell="P33" sqref="P33"/>
    </sheetView>
  </sheetViews>
  <sheetFormatPr defaultColWidth="9.140625" defaultRowHeight="18" x14ac:dyDescent="0.25"/>
  <cols>
    <col min="1" max="1" width="78.5703125" customWidth="1"/>
    <col min="2" max="2" width="23" style="174" hidden="1" customWidth="1"/>
    <col min="3" max="3" width="21.42578125" style="174" hidden="1" customWidth="1"/>
    <col min="4" max="6" width="21.7109375" style="174" hidden="1" customWidth="1"/>
    <col min="7" max="7" width="25.7109375" style="173" hidden="1" customWidth="1"/>
    <col min="8" max="8" width="22.7109375" hidden="1" customWidth="1"/>
    <col min="9" max="9" width="25.85546875" style="173" customWidth="1"/>
    <col min="10" max="10" width="22.7109375" hidden="1" customWidth="1"/>
    <col min="11" max="11" width="19.7109375" hidden="1" customWidth="1"/>
    <col min="12" max="12" width="25.7109375" style="174" hidden="1" customWidth="1"/>
    <col min="13" max="13" width="25.7109375" style="174" customWidth="1"/>
    <col min="14" max="15" width="25.7109375" style="174" hidden="1" customWidth="1"/>
    <col min="16" max="16" width="25.7109375" style="174" customWidth="1"/>
    <col min="17" max="17" width="2.5703125" customWidth="1"/>
    <col min="18" max="18" width="3.85546875" bestFit="1" customWidth="1"/>
    <col min="19" max="19" width="90.5703125" customWidth="1"/>
    <col min="20" max="20" width="20.42578125" style="173" hidden="1" customWidth="1"/>
    <col min="21" max="21" width="21.28515625" style="174" hidden="1" customWidth="1"/>
    <col min="22" max="24" width="21.7109375" style="174" hidden="1" customWidth="1"/>
    <col min="25" max="25" width="25.7109375" style="174" hidden="1" customWidth="1"/>
    <col min="26" max="26" width="21.42578125" style="174" hidden="1" customWidth="1"/>
    <col min="27" max="27" width="25.85546875" style="173" customWidth="1"/>
    <col min="28" max="28" width="21.7109375" style="174" hidden="1" customWidth="1"/>
    <col min="29" max="29" width="24.7109375" style="174" hidden="1" customWidth="1"/>
    <col min="30" max="30" width="25.7109375" style="174" hidden="1" customWidth="1"/>
    <col min="31" max="31" width="20.5703125" hidden="1" customWidth="1"/>
    <col min="32" max="32" width="19.28515625" hidden="1" customWidth="1"/>
    <col min="33" max="33" width="15.7109375" hidden="1" customWidth="1"/>
    <col min="34" max="34" width="17.5703125" hidden="1" customWidth="1"/>
    <col min="35" max="35" width="23.42578125" hidden="1" customWidth="1"/>
    <col min="36" max="38" width="20.7109375" hidden="1" customWidth="1"/>
    <col min="39" max="39" width="15.5703125" hidden="1" customWidth="1"/>
    <col min="40" max="40" width="13.28515625" hidden="1" customWidth="1"/>
    <col min="41" max="41" width="14.7109375" hidden="1" customWidth="1"/>
    <col min="42" max="43" width="13" hidden="1" customWidth="1"/>
    <col min="44" max="44" width="13.85546875" hidden="1" customWidth="1"/>
    <col min="45" max="45" width="17.28515625" hidden="1" customWidth="1"/>
    <col min="46" max="47" width="20.7109375" hidden="1" customWidth="1"/>
    <col min="48" max="48" width="17.5703125" hidden="1" customWidth="1"/>
    <col min="49" max="49" width="5" hidden="1" customWidth="1"/>
    <col min="50" max="50" width="15" hidden="1" customWidth="1"/>
    <col min="51" max="51" width="23" style="2" hidden="1" customWidth="1"/>
    <col min="52" max="52" width="19.7109375" style="3" hidden="1" customWidth="1"/>
    <col min="53" max="53" width="16" hidden="1" customWidth="1"/>
    <col min="54" max="54" width="20.42578125" hidden="1" customWidth="1"/>
    <col min="55" max="55" width="22.85546875" style="4" hidden="1" customWidth="1"/>
    <col min="56" max="56" width="20.85546875" style="4" hidden="1" customWidth="1"/>
    <col min="57" max="57" width="23.7109375" style="4" hidden="1" customWidth="1"/>
    <col min="58" max="58" width="20.85546875" style="5" hidden="1" customWidth="1"/>
    <col min="59" max="59" width="22.85546875" hidden="1" customWidth="1"/>
    <col min="60" max="60" width="18.5703125" hidden="1" customWidth="1"/>
    <col min="61" max="61" width="32.140625" hidden="1" customWidth="1"/>
    <col min="62" max="62" width="26" hidden="1" customWidth="1"/>
    <col min="63" max="63" width="22.28515625" hidden="1" customWidth="1"/>
    <col min="64" max="64" width="22.5703125" hidden="1" customWidth="1"/>
    <col min="65" max="65" width="18.5703125" hidden="1" customWidth="1"/>
    <col min="66" max="69" width="21.7109375" style="6" hidden="1" customWidth="1"/>
    <col min="70" max="70" width="25.7109375" style="174" customWidth="1"/>
    <col min="71" max="72" width="25.85546875" style="174" hidden="1" customWidth="1"/>
    <col min="73" max="73" width="25.85546875" style="174" customWidth="1"/>
    <col min="74" max="74" width="22.85546875" customWidth="1"/>
  </cols>
  <sheetData>
    <row r="1" spans="1:74" ht="26.25" customHeight="1" x14ac:dyDescent="0.25">
      <c r="A1" s="183" t="s">
        <v>134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3"/>
      <c r="V1" s="183"/>
      <c r="W1" s="183"/>
      <c r="X1" s="183"/>
      <c r="Y1" s="183"/>
      <c r="Z1" s="183"/>
      <c r="AA1" s="183"/>
      <c r="AB1" s="183"/>
      <c r="AC1" s="183"/>
      <c r="AD1" s="183"/>
      <c r="AE1" s="1"/>
      <c r="AF1" s="1"/>
      <c r="AG1" s="1"/>
      <c r="AH1" s="1"/>
      <c r="AI1" s="1"/>
      <c r="BR1"/>
      <c r="BS1"/>
      <c r="BT1"/>
      <c r="BU1"/>
    </row>
    <row r="2" spans="1:74" s="12" customFormat="1" ht="26.25" customHeight="1" x14ac:dyDescent="0.2">
      <c r="A2" s="184" t="s">
        <v>0</v>
      </c>
      <c r="B2" s="184"/>
      <c r="C2" s="7"/>
      <c r="D2" s="7"/>
      <c r="E2" s="7"/>
      <c r="F2" s="7"/>
      <c r="G2" s="8"/>
      <c r="H2" s="9"/>
      <c r="I2" s="10"/>
      <c r="J2" s="9"/>
      <c r="K2" s="9"/>
      <c r="L2" s="9"/>
      <c r="M2" s="9"/>
      <c r="N2" s="9"/>
      <c r="O2" s="9"/>
      <c r="P2" s="9"/>
      <c r="Q2" s="11"/>
      <c r="R2" s="184" t="s">
        <v>1</v>
      </c>
      <c r="S2" s="184"/>
      <c r="T2" s="184"/>
      <c r="U2" s="184"/>
      <c r="V2" s="184"/>
      <c r="Y2" s="13"/>
      <c r="AA2" s="14"/>
      <c r="AB2" s="15" t="s">
        <v>2</v>
      </c>
      <c r="AC2" s="15"/>
      <c r="AD2" s="15"/>
      <c r="AY2" s="16"/>
      <c r="AZ2" s="17"/>
      <c r="BC2" s="18"/>
      <c r="BD2" s="18"/>
      <c r="BE2" s="18"/>
      <c r="BF2" s="19"/>
      <c r="BR2" s="15"/>
      <c r="BS2" s="15"/>
      <c r="BT2" s="15"/>
      <c r="BU2" s="15" t="s">
        <v>2</v>
      </c>
    </row>
    <row r="3" spans="1:74" ht="82.9" customHeight="1" x14ac:dyDescent="0.3">
      <c r="A3" s="20" t="s">
        <v>3</v>
      </c>
      <c r="B3" s="21" t="s">
        <v>4</v>
      </c>
      <c r="C3" s="22" t="s">
        <v>5</v>
      </c>
      <c r="D3" s="22" t="s">
        <v>6</v>
      </c>
      <c r="E3" s="22" t="s">
        <v>7</v>
      </c>
      <c r="F3" s="22" t="s">
        <v>8</v>
      </c>
      <c r="G3" s="22" t="s">
        <v>9</v>
      </c>
      <c r="H3" s="22" t="s">
        <v>10</v>
      </c>
      <c r="I3" s="22" t="s">
        <v>141</v>
      </c>
      <c r="J3" s="22" t="s">
        <v>11</v>
      </c>
      <c r="K3" s="22" t="s">
        <v>12</v>
      </c>
      <c r="L3" s="22" t="s">
        <v>13</v>
      </c>
      <c r="M3" s="22" t="s">
        <v>140</v>
      </c>
      <c r="N3" s="22" t="s">
        <v>138</v>
      </c>
      <c r="O3" s="22" t="s">
        <v>139</v>
      </c>
      <c r="P3" s="22" t="s">
        <v>143</v>
      </c>
      <c r="Q3" s="23"/>
      <c r="R3" s="20"/>
      <c r="S3" s="20" t="s">
        <v>3</v>
      </c>
      <c r="T3" s="21" t="s">
        <v>4</v>
      </c>
      <c r="U3" s="22" t="s">
        <v>5</v>
      </c>
      <c r="V3" s="22" t="s">
        <v>6</v>
      </c>
      <c r="W3" s="22" t="s">
        <v>7</v>
      </c>
      <c r="X3" s="22" t="s">
        <v>8</v>
      </c>
      <c r="Y3" s="22" t="s">
        <v>9</v>
      </c>
      <c r="Z3" s="22" t="s">
        <v>10</v>
      </c>
      <c r="AA3" s="22" t="str">
        <f>I3</f>
        <v>2021               (факт)</v>
      </c>
      <c r="AB3" s="22" t="s">
        <v>14</v>
      </c>
      <c r="AC3" s="22" t="s">
        <v>12</v>
      </c>
      <c r="AD3" s="22" t="str">
        <f>L3</f>
        <v>2022                         (рішення   14.07.2022)</v>
      </c>
      <c r="AE3" s="1"/>
      <c r="AF3" s="1"/>
      <c r="AG3" s="1"/>
      <c r="AH3" s="1"/>
      <c r="AI3" s="1"/>
      <c r="AY3" s="185" t="s">
        <v>15</v>
      </c>
      <c r="AZ3" s="185"/>
      <c r="BA3" s="185"/>
      <c r="BB3" s="185"/>
      <c r="BR3" s="22" t="str">
        <f>M3</f>
        <v>2022                                      (факт)</v>
      </c>
      <c r="BS3" s="22" t="str">
        <f>N3</f>
        <v>2023 прогноз</v>
      </c>
      <c r="BT3" s="22" t="str">
        <f>O3</f>
        <v>2023 проєкт</v>
      </c>
      <c r="BU3" s="22" t="str">
        <f>P3</f>
        <v>2023                                                                                 (рішення 23.03.2023)</v>
      </c>
    </row>
    <row r="4" spans="1:74" ht="21.75" x14ac:dyDescent="0.25">
      <c r="A4" s="24" t="s">
        <v>16</v>
      </c>
      <c r="B4" s="25">
        <f t="shared" ref="B4:P4" si="0">SUM(B10:B13,B5:B7)</f>
        <v>25658764.500000004</v>
      </c>
      <c r="C4" s="25">
        <f t="shared" si="0"/>
        <v>34128412.5</v>
      </c>
      <c r="D4" s="25">
        <f t="shared" si="0"/>
        <v>43005814.050000004</v>
      </c>
      <c r="E4" s="25">
        <f t="shared" si="0"/>
        <v>50447786.392000005</v>
      </c>
      <c r="F4" s="25">
        <f t="shared" si="0"/>
        <v>56901264.030000001</v>
      </c>
      <c r="G4" s="25">
        <f t="shared" si="0"/>
        <v>53123698.905000001</v>
      </c>
      <c r="H4" s="25">
        <f t="shared" si="0"/>
        <v>54928544.799999997</v>
      </c>
      <c r="I4" s="25">
        <f t="shared" si="0"/>
        <v>63220168.602809995</v>
      </c>
      <c r="J4" s="25">
        <f t="shared" si="0"/>
        <v>59293419.5</v>
      </c>
      <c r="K4" s="25">
        <f t="shared" si="0"/>
        <v>2573475.1</v>
      </c>
      <c r="L4" s="25">
        <f t="shared" si="0"/>
        <v>62359361.740000002</v>
      </c>
      <c r="M4" s="25">
        <f t="shared" si="0"/>
        <v>65126367.224610001</v>
      </c>
      <c r="N4" s="25">
        <f t="shared" si="0"/>
        <v>56325235</v>
      </c>
      <c r="O4" s="25">
        <f t="shared" si="0"/>
        <v>61343934.799999997</v>
      </c>
      <c r="P4" s="25">
        <f t="shared" si="0"/>
        <v>61572713.799999997</v>
      </c>
      <c r="Q4" s="26"/>
      <c r="R4" s="201" t="s">
        <v>17</v>
      </c>
      <c r="S4" s="27" t="s">
        <v>18</v>
      </c>
      <c r="T4" s="25">
        <f>SUM(T5:T7)+4340</f>
        <v>689129.7</v>
      </c>
      <c r="U4" s="25">
        <f>SUM(U5:U7)+49621.451+0.035</f>
        <v>742026.11900000006</v>
      </c>
      <c r="V4" s="25">
        <v>1059509.04</v>
      </c>
      <c r="W4" s="25">
        <f>SUM(W5:W7)+23062.891+1.921-1000</f>
        <v>739712.82499999995</v>
      </c>
      <c r="X4" s="25">
        <f>SUM(X5:X7)+5362.17+3284.64</f>
        <v>406558.54</v>
      </c>
      <c r="Y4" s="25">
        <f>SUM(Y5:Y7)+7277.796</f>
        <v>538454.74199999997</v>
      </c>
      <c r="Z4" s="25">
        <f>SUM(Z5:Z7)+10000</f>
        <v>959700</v>
      </c>
      <c r="AA4" s="25">
        <f>SUM(AA5:AA7)+13030.96032+187+47892.432</f>
        <v>652028.33114000002</v>
      </c>
      <c r="AB4" s="25">
        <f>SUM(AB5:AB7)+10000+34</f>
        <v>1187234</v>
      </c>
      <c r="AC4" s="25">
        <f>SUM(AC5:AC7)</f>
        <v>0</v>
      </c>
      <c r="AD4" s="25">
        <f t="shared" ref="AD4" si="1">SUM(AD5:AD7)+10000+34</f>
        <v>1187234</v>
      </c>
      <c r="AE4" s="1"/>
      <c r="AF4" s="1"/>
      <c r="AG4" s="1"/>
      <c r="AH4" s="1"/>
      <c r="AI4" s="1"/>
      <c r="BR4" s="25">
        <f>BR5+BR6+BR7</f>
        <v>395065.54479999997</v>
      </c>
      <c r="BS4" s="25">
        <f>SUM(BS5:BS7)</f>
        <v>80000</v>
      </c>
      <c r="BT4" s="25">
        <f>SUM(BT5:BT7)</f>
        <v>80000</v>
      </c>
      <c r="BU4" s="25">
        <f>SUM(BU5:BU7)</f>
        <v>1080000</v>
      </c>
    </row>
    <row r="5" spans="1:74" ht="22.5" x14ac:dyDescent="0.3">
      <c r="A5" s="28" t="s">
        <v>19</v>
      </c>
      <c r="B5" s="29">
        <v>8042566.9000000004</v>
      </c>
      <c r="C5" s="29">
        <v>11085651.5</v>
      </c>
      <c r="D5" s="29">
        <v>14628160.68</v>
      </c>
      <c r="E5" s="29">
        <f>18587100.557</f>
        <v>18587100.557</v>
      </c>
      <c r="F5" s="29">
        <v>23034611.09</v>
      </c>
      <c r="G5" s="29">
        <v>24566415.386</v>
      </c>
      <c r="H5" s="29">
        <v>27630653</v>
      </c>
      <c r="I5" s="29">
        <v>29535627.788800001</v>
      </c>
      <c r="J5" s="29">
        <v>29396595.5</v>
      </c>
      <c r="K5" s="29">
        <f>958000</f>
        <v>958000</v>
      </c>
      <c r="L5" s="29">
        <v>30614595.5</v>
      </c>
      <c r="M5" s="29">
        <v>31528431.32835</v>
      </c>
      <c r="N5" s="29">
        <v>30614595.5</v>
      </c>
      <c r="O5" s="29">
        <v>30614595.5</v>
      </c>
      <c r="P5" s="29">
        <v>30614595.5</v>
      </c>
      <c r="Q5" s="186"/>
      <c r="R5" s="202"/>
      <c r="S5" s="28" t="s">
        <v>20</v>
      </c>
      <c r="T5" s="29">
        <v>272099.09999999998</v>
      </c>
      <c r="U5" s="29">
        <v>92425.653000000006</v>
      </c>
      <c r="V5" s="29">
        <v>-2105.9699999999998</v>
      </c>
      <c r="W5" s="29">
        <v>149206.239</v>
      </c>
      <c r="X5" s="29">
        <v>68464.479999999996</v>
      </c>
      <c r="Y5" s="29">
        <v>155973.12700000001</v>
      </c>
      <c r="Z5" s="29">
        <v>100000</v>
      </c>
      <c r="AA5" s="29">
        <v>116696.39611</v>
      </c>
      <c r="AB5" s="29">
        <v>300000</v>
      </c>
      <c r="AC5" s="29"/>
      <c r="AD5" s="29">
        <f>AB5+AC5</f>
        <v>300000</v>
      </c>
      <c r="AE5" s="1"/>
      <c r="AF5" s="1"/>
      <c r="AG5" s="1"/>
      <c r="AH5" s="1"/>
      <c r="AI5" s="1"/>
      <c r="AY5" s="179" t="s">
        <v>21</v>
      </c>
      <c r="AZ5" s="179">
        <v>7340</v>
      </c>
      <c r="BA5" s="30">
        <v>7363</v>
      </c>
      <c r="BB5" s="30" t="s">
        <v>22</v>
      </c>
      <c r="BR5" s="29">
        <v>116418.84118</v>
      </c>
      <c r="BS5" s="29">
        <v>80000</v>
      </c>
      <c r="BT5" s="29">
        <v>80000</v>
      </c>
      <c r="BU5" s="29">
        <v>80000</v>
      </c>
    </row>
    <row r="6" spans="1:74" ht="22.5" x14ac:dyDescent="0.25">
      <c r="A6" s="28" t="s">
        <v>23</v>
      </c>
      <c r="B6" s="29">
        <v>1624927.7</v>
      </c>
      <c r="C6" s="29">
        <f>2889996+41832</f>
        <v>2931828</v>
      </c>
      <c r="D6" s="29">
        <v>3025629</v>
      </c>
      <c r="E6" s="29">
        <v>4284794.8550000004</v>
      </c>
      <c r="F6" s="29">
        <v>5106247.13</v>
      </c>
      <c r="G6" s="29">
        <v>5136049.5120000001</v>
      </c>
      <c r="H6" s="29">
        <v>5003758</v>
      </c>
      <c r="I6" s="29">
        <v>6373728.35195</v>
      </c>
      <c r="J6" s="29">
        <v>5876000</v>
      </c>
      <c r="K6" s="29"/>
      <c r="L6" s="29">
        <v>6516789.5</v>
      </c>
      <c r="M6" s="29">
        <v>7599668.3840100002</v>
      </c>
      <c r="N6" s="29">
        <v>4292452.3</v>
      </c>
      <c r="O6" s="29">
        <v>4292452.3</v>
      </c>
      <c r="P6" s="29">
        <v>4292452.3</v>
      </c>
      <c r="Q6" s="186"/>
      <c r="R6" s="202"/>
      <c r="S6" s="28" t="s">
        <v>24</v>
      </c>
      <c r="T6" s="29">
        <v>79323.7</v>
      </c>
      <c r="U6" s="29">
        <v>36850.559999999998</v>
      </c>
      <c r="V6" s="29">
        <v>174029.63</v>
      </c>
      <c r="W6" s="29">
        <v>88298.584000000003</v>
      </c>
      <c r="X6" s="29">
        <v>45220.1</v>
      </c>
      <c r="Y6" s="29">
        <v>43010.034</v>
      </c>
      <c r="Z6" s="29">
        <v>849700</v>
      </c>
      <c r="AA6" s="29">
        <v>395021.7046</v>
      </c>
      <c r="AB6" s="29">
        <v>877200</v>
      </c>
      <c r="AC6" s="29"/>
      <c r="AD6" s="29">
        <f t="shared" ref="AD6:AD64" si="2">AB6+AC6</f>
        <v>877200</v>
      </c>
      <c r="AE6" s="1"/>
      <c r="AF6" s="1"/>
      <c r="AG6" s="1"/>
      <c r="AH6" s="1"/>
      <c r="AI6" s="1"/>
      <c r="BA6" s="31" t="s">
        <v>25</v>
      </c>
      <c r="BR6" s="29">
        <v>271327.47093000001</v>
      </c>
      <c r="BS6" s="29"/>
      <c r="BT6" s="29"/>
      <c r="BU6" s="29">
        <v>1000000</v>
      </c>
    </row>
    <row r="7" spans="1:74" ht="22.5" x14ac:dyDescent="0.25">
      <c r="A7" s="28" t="s">
        <v>26</v>
      </c>
      <c r="B7" s="32">
        <v>2950501.1</v>
      </c>
      <c r="C7" s="32">
        <v>5493108.2999999998</v>
      </c>
      <c r="D7" s="29">
        <v>5545873.2400000002</v>
      </c>
      <c r="E7" s="29">
        <v>5984821.3530000001</v>
      </c>
      <c r="F7" s="29">
        <v>6880037.6600000001</v>
      </c>
      <c r="G7" s="29">
        <v>6470708.2929999996</v>
      </c>
      <c r="H7" s="29">
        <v>6473996</v>
      </c>
      <c r="I7" s="29">
        <v>7390131.5433400003</v>
      </c>
      <c r="J7" s="29">
        <v>6739192.5999999996</v>
      </c>
      <c r="K7" s="29">
        <f>361000</f>
        <v>361000</v>
      </c>
      <c r="L7" s="29">
        <v>7212292.5999999996</v>
      </c>
      <c r="M7" s="29">
        <v>5578973.9471199997</v>
      </c>
      <c r="N7" s="29">
        <v>7199552.5999999996</v>
      </c>
      <c r="O7" s="29">
        <v>7199552.5999999996</v>
      </c>
      <c r="P7" s="29">
        <v>7199552.5999999996</v>
      </c>
      <c r="Q7" s="186"/>
      <c r="R7" s="202"/>
      <c r="S7" s="28" t="s">
        <v>27</v>
      </c>
      <c r="T7" s="29">
        <v>333366.90000000002</v>
      </c>
      <c r="U7" s="29">
        <v>563128.42000000004</v>
      </c>
      <c r="V7" s="29">
        <v>793396.99</v>
      </c>
      <c r="W7" s="29">
        <f>480143.19</f>
        <v>480143.19</v>
      </c>
      <c r="X7" s="29">
        <v>284227.15000000002</v>
      </c>
      <c r="Y7" s="29">
        <v>332193.78499999997</v>
      </c>
      <c r="Z7" s="29">
        <v>0</v>
      </c>
      <c r="AA7" s="29">
        <v>79199.838109999997</v>
      </c>
      <c r="AB7" s="29">
        <v>0</v>
      </c>
      <c r="AC7" s="29"/>
      <c r="AD7" s="29">
        <f t="shared" si="2"/>
        <v>0</v>
      </c>
      <c r="AE7" s="1"/>
      <c r="AF7" s="1"/>
      <c r="AG7" s="1"/>
      <c r="AH7" s="1"/>
      <c r="AI7" s="1"/>
      <c r="BC7" s="33" t="s">
        <v>28</v>
      </c>
      <c r="BD7" s="33" t="s">
        <v>29</v>
      </c>
      <c r="BE7" s="33" t="s">
        <v>30</v>
      </c>
      <c r="BI7" s="188">
        <v>2021</v>
      </c>
      <c r="BJ7" s="188"/>
      <c r="BK7" s="188"/>
      <c r="BL7" s="188"/>
      <c r="BM7" s="188"/>
      <c r="BN7" s="189">
        <v>2022</v>
      </c>
      <c r="BO7" s="190"/>
      <c r="BP7" s="190"/>
      <c r="BQ7" s="191"/>
      <c r="BR7" s="29">
        <v>7319.2326899999998</v>
      </c>
      <c r="BS7" s="29"/>
      <c r="BT7" s="29"/>
      <c r="BU7" s="29"/>
    </row>
    <row r="8" spans="1:74" ht="22.5" x14ac:dyDescent="0.25">
      <c r="A8" s="34" t="s">
        <v>31</v>
      </c>
      <c r="B8" s="35">
        <v>2644941.6</v>
      </c>
      <c r="C8" s="35">
        <v>5123725.2</v>
      </c>
      <c r="D8" s="35">
        <v>5023590.97</v>
      </c>
      <c r="E8" s="35">
        <f>2204961.678+2836330.871+70289.446+26528.734</f>
        <v>5138110.7289999994</v>
      </c>
      <c r="F8" s="35">
        <f>2400050.19+3131438.19+76589.63+25951.86</f>
        <v>5634029.8700000001</v>
      </c>
      <c r="G8" s="35">
        <f>1945100.598+2864223.758+78366.319+28386.913</f>
        <v>4916077.5879999995</v>
      </c>
      <c r="H8" s="35">
        <v>4768389</v>
      </c>
      <c r="I8" s="35">
        <v>5257830.8006899999</v>
      </c>
      <c r="J8" s="35">
        <v>5008389</v>
      </c>
      <c r="K8" s="35"/>
      <c r="L8" s="29">
        <f>1963045.2+3086402.6+39849.1+31192.1</f>
        <v>5120488.9999999991</v>
      </c>
      <c r="M8" s="29">
        <v>3739425.7080000001</v>
      </c>
      <c r="N8" s="29">
        <v>5120489</v>
      </c>
      <c r="O8" s="29">
        <v>5120489</v>
      </c>
      <c r="P8" s="29">
        <v>5120489</v>
      </c>
      <c r="Q8" s="186"/>
      <c r="R8" s="202"/>
      <c r="S8" s="36" t="s">
        <v>32</v>
      </c>
      <c r="T8" s="37">
        <f>T9+T10</f>
        <v>3301274.9</v>
      </c>
      <c r="U8" s="37">
        <f>SUM(U9,U10)</f>
        <v>7412281.2255000006</v>
      </c>
      <c r="V8" s="37">
        <f t="shared" ref="V8:AD8" si="3">SUM(V9,V10)</f>
        <v>13249131.800000001</v>
      </c>
      <c r="W8" s="37">
        <f t="shared" si="3"/>
        <v>15987440.805</v>
      </c>
      <c r="X8" s="37">
        <f t="shared" si="3"/>
        <v>16203532.849999998</v>
      </c>
      <c r="Y8" s="37">
        <f t="shared" si="3"/>
        <v>14079121.130999999</v>
      </c>
      <c r="Z8" s="37">
        <f t="shared" si="3"/>
        <v>9297085.625</v>
      </c>
      <c r="AA8" s="37">
        <f t="shared" si="3"/>
        <v>16908060.5856</v>
      </c>
      <c r="AB8" s="37">
        <f t="shared" si="3"/>
        <v>13625259.763</v>
      </c>
      <c r="AC8" s="37">
        <f t="shared" si="3"/>
        <v>-93686.305000000168</v>
      </c>
      <c r="AD8" s="37">
        <f t="shared" si="3"/>
        <v>12180841.622000001</v>
      </c>
      <c r="AE8" s="38">
        <f>2156177.319-AE10</f>
        <v>2156177.3190000001</v>
      </c>
      <c r="AF8" s="192" t="s">
        <v>33</v>
      </c>
      <c r="AG8" s="192"/>
      <c r="AH8" s="192"/>
      <c r="AI8" s="193" t="s">
        <v>34</v>
      </c>
      <c r="AJ8" s="193"/>
      <c r="AK8" s="193"/>
      <c r="AL8" s="193"/>
      <c r="AM8" s="193"/>
      <c r="AN8" s="193"/>
      <c r="AO8" s="193"/>
      <c r="AP8" s="193"/>
      <c r="AQ8" s="193"/>
      <c r="AR8" s="193"/>
      <c r="AS8" s="193"/>
      <c r="AT8" s="193"/>
      <c r="AU8" s="193"/>
      <c r="AV8" s="193"/>
      <c r="AW8" s="193"/>
      <c r="AX8" s="39"/>
      <c r="BC8" s="40"/>
      <c r="BD8" s="41"/>
      <c r="BE8" s="41"/>
      <c r="BI8" s="42" t="s">
        <v>35</v>
      </c>
      <c r="BJ8" s="43">
        <v>7300</v>
      </c>
      <c r="BK8" s="43">
        <v>7363</v>
      </c>
      <c r="BL8" s="43">
        <v>7361</v>
      </c>
      <c r="BM8" s="44" t="s">
        <v>36</v>
      </c>
      <c r="BR8" s="37">
        <f t="shared" ref="BR8:BU8" si="4">SUM(BR9,BR10)</f>
        <v>9694822.0651599988</v>
      </c>
      <c r="BS8" s="37">
        <v>5500000</v>
      </c>
      <c r="BT8" s="37">
        <f t="shared" si="4"/>
        <v>6054177.6209999993</v>
      </c>
      <c r="BU8" s="37">
        <f t="shared" si="4"/>
        <v>21815049.912299998</v>
      </c>
    </row>
    <row r="9" spans="1:74" ht="22.5" x14ac:dyDescent="0.25">
      <c r="A9" s="34" t="s">
        <v>37</v>
      </c>
      <c r="B9" s="35">
        <v>138314.9</v>
      </c>
      <c r="C9" s="35">
        <v>94005</v>
      </c>
      <c r="D9" s="35">
        <v>72974.48</v>
      </c>
      <c r="E9" s="35">
        <f>51802.902+43157.689</f>
        <v>94960.591</v>
      </c>
      <c r="F9" s="35">
        <v>35716.11</v>
      </c>
      <c r="G9" s="35">
        <f>43656.475+27853.966</f>
        <v>71510.440999999992</v>
      </c>
      <c r="H9" s="35">
        <v>73607</v>
      </c>
      <c r="I9" s="35">
        <v>52790.340940000002</v>
      </c>
      <c r="J9" s="35">
        <v>42090</v>
      </c>
      <c r="K9" s="35"/>
      <c r="L9" s="29">
        <v>42090</v>
      </c>
      <c r="M9" s="29">
        <v>28500</v>
      </c>
      <c r="N9" s="29">
        <v>29350</v>
      </c>
      <c r="O9" s="29">
        <v>29350</v>
      </c>
      <c r="P9" s="29">
        <v>29350</v>
      </c>
      <c r="Q9" s="186"/>
      <c r="R9" s="202"/>
      <c r="S9" s="45" t="s">
        <v>38</v>
      </c>
      <c r="T9" s="46">
        <v>58869.5</v>
      </c>
      <c r="U9" s="47">
        <v>41860</v>
      </c>
      <c r="V9" s="46">
        <v>534100</v>
      </c>
      <c r="W9" s="46">
        <v>2000913.6</v>
      </c>
      <c r="X9" s="46">
        <v>303566.87</v>
      </c>
      <c r="Y9" s="46">
        <v>0</v>
      </c>
      <c r="Z9" s="46">
        <v>0</v>
      </c>
      <c r="AA9" s="46">
        <v>2125000</v>
      </c>
      <c r="AB9" s="46"/>
      <c r="AC9" s="46"/>
      <c r="AD9" s="46">
        <f t="shared" si="2"/>
        <v>0</v>
      </c>
      <c r="AE9" s="181" t="s">
        <v>39</v>
      </c>
      <c r="AF9" s="48" t="s">
        <v>40</v>
      </c>
      <c r="AG9" s="181" t="s">
        <v>41</v>
      </c>
      <c r="AH9" s="49" t="s">
        <v>42</v>
      </c>
      <c r="AI9" s="50" t="s">
        <v>43</v>
      </c>
      <c r="AJ9" s="50" t="s">
        <v>44</v>
      </c>
      <c r="AK9" s="51" t="s">
        <v>45</v>
      </c>
      <c r="AL9" s="51" t="s">
        <v>46</v>
      </c>
      <c r="AT9" s="51" t="s">
        <v>47</v>
      </c>
      <c r="AU9" s="52">
        <v>-15899965.98</v>
      </c>
      <c r="BC9" s="40"/>
      <c r="BD9" s="41"/>
      <c r="BE9" s="41"/>
      <c r="BI9" s="29">
        <f>AA9</f>
        <v>2125000</v>
      </c>
      <c r="BN9" s="1"/>
      <c r="BO9" s="53" t="s">
        <v>21</v>
      </c>
      <c r="BP9" s="53">
        <v>7340</v>
      </c>
      <c r="BQ9" s="54">
        <v>7363</v>
      </c>
      <c r="BR9" s="46">
        <v>3500000</v>
      </c>
      <c r="BS9" s="46">
        <v>0</v>
      </c>
      <c r="BT9" s="46">
        <v>0</v>
      </c>
      <c r="BU9" s="46">
        <v>28407.215</v>
      </c>
    </row>
    <row r="10" spans="1:74" ht="22.5" x14ac:dyDescent="0.25">
      <c r="A10" s="28" t="s">
        <v>48</v>
      </c>
      <c r="B10" s="29">
        <v>975550.7</v>
      </c>
      <c r="C10" s="29">
        <v>1366404.8</v>
      </c>
      <c r="D10" s="29">
        <v>1589749.4</v>
      </c>
      <c r="E10" s="29">
        <v>1732729.598</v>
      </c>
      <c r="F10" s="29">
        <v>1896782.25</v>
      </c>
      <c r="G10" s="29">
        <v>2166580.1269999999</v>
      </c>
      <c r="H10" s="29">
        <v>2032350</v>
      </c>
      <c r="I10" s="29">
        <v>2533845.0196000002</v>
      </c>
      <c r="J10" s="29">
        <v>2228741</v>
      </c>
      <c r="K10" s="29">
        <f>133000</f>
        <v>133000</v>
      </c>
      <c r="L10" s="29">
        <v>1691741</v>
      </c>
      <c r="M10" s="29">
        <v>1988224.22322</v>
      </c>
      <c r="N10" s="29">
        <v>2632600</v>
      </c>
      <c r="O10" s="29">
        <v>2632600</v>
      </c>
      <c r="P10" s="29">
        <v>2632600</v>
      </c>
      <c r="Q10" s="186"/>
      <c r="R10" s="202"/>
      <c r="S10" s="45" t="s">
        <v>49</v>
      </c>
      <c r="T10" s="46">
        <f>SUM(T11:T20)</f>
        <v>3242405.4</v>
      </c>
      <c r="U10" s="46">
        <f t="shared" ref="U10:AE10" si="5">SUM(U11:U20)</f>
        <v>7370421.2255000006</v>
      </c>
      <c r="V10" s="46">
        <f t="shared" si="5"/>
        <v>12715031.800000001</v>
      </c>
      <c r="W10" s="46">
        <f t="shared" si="5"/>
        <v>13986527.205</v>
      </c>
      <c r="X10" s="46">
        <f t="shared" si="5"/>
        <v>15899965.979999999</v>
      </c>
      <c r="Y10" s="46">
        <f t="shared" si="5"/>
        <v>14079121.130999999</v>
      </c>
      <c r="Z10" s="46">
        <f t="shared" si="5"/>
        <v>9297085.625</v>
      </c>
      <c r="AA10" s="46">
        <f t="shared" si="5"/>
        <v>14783060.5856</v>
      </c>
      <c r="AB10" s="46">
        <f>16286802.047-2661542.284</f>
        <v>13625259.763</v>
      </c>
      <c r="AC10" s="46">
        <f>AC11+AC12+AC13+AC14+AC15+AC16+AC17+AC18+AC19+AC20</f>
        <v>-93686.305000000168</v>
      </c>
      <c r="AD10" s="46">
        <f t="shared" si="5"/>
        <v>12180841.622000001</v>
      </c>
      <c r="AE10" s="55">
        <f t="shared" si="5"/>
        <v>0</v>
      </c>
      <c r="AF10" s="56">
        <f>SUM(AF11:AF21)</f>
        <v>14858509.224000001</v>
      </c>
      <c r="AG10" s="56">
        <f>SUM(AG11:AG21)</f>
        <v>815290.81900000002</v>
      </c>
      <c r="AH10" s="56">
        <f>SUM(AH11:AH21)</f>
        <v>310670.03199999995</v>
      </c>
      <c r="AI10" s="57">
        <f t="shared" ref="AI10:AR10" si="6">SUM(AI11:AI20)</f>
        <v>315530.08</v>
      </c>
      <c r="AJ10" s="57">
        <f t="shared" si="6"/>
        <v>277313.82</v>
      </c>
      <c r="AK10" s="57">
        <f t="shared" si="6"/>
        <v>11409304.050000001</v>
      </c>
      <c r="AL10" s="58">
        <f t="shared" si="6"/>
        <v>3446357.11</v>
      </c>
      <c r="AM10" s="59">
        <f t="shared" si="6"/>
        <v>2674141.4300000002</v>
      </c>
      <c r="AN10" s="59">
        <f t="shared" si="6"/>
        <v>34828.69</v>
      </c>
      <c r="AO10" s="59">
        <f t="shared" si="6"/>
        <v>631034.01</v>
      </c>
      <c r="AP10" s="59">
        <f t="shared" si="6"/>
        <v>77122.11</v>
      </c>
      <c r="AQ10" s="59">
        <f t="shared" si="6"/>
        <v>19023.97</v>
      </c>
      <c r="AR10" s="59">
        <f t="shared" si="6"/>
        <v>10206.9</v>
      </c>
      <c r="AS10" s="60"/>
      <c r="AT10" s="58">
        <f t="shared" ref="AT10" si="7">SUM(AT11:AT20)</f>
        <v>455098.07</v>
      </c>
      <c r="AU10" s="52">
        <f>AI10+AJ10+AK10+AL10+AT10</f>
        <v>15903603.130000001</v>
      </c>
      <c r="AV10" s="52">
        <f>X10-AU10</f>
        <v>-3637.1500000022352</v>
      </c>
      <c r="AW10" s="52">
        <f>AV10+AJ22</f>
        <v>-3637.1500000022352</v>
      </c>
      <c r="AX10" s="52"/>
      <c r="AY10" s="61">
        <f>AY11+AY12+AY13+AY14+AY15+AY16+AY17+AY18+AY19+AY20</f>
        <v>3024336.6969999997</v>
      </c>
      <c r="AZ10" s="61">
        <f t="shared" ref="AZ10:BA10" si="8">AZ11+AZ12+AZ13+AZ14+AZ15+AZ16+AZ17+AZ18+AZ19+AZ20</f>
        <v>52432.154000000002</v>
      </c>
      <c r="BA10" s="61">
        <f t="shared" si="8"/>
        <v>130584.48799999998</v>
      </c>
      <c r="BB10" s="62">
        <f>AY10+AZ10+BA10</f>
        <v>3207353.3389999997</v>
      </c>
      <c r="BC10" s="40"/>
      <c r="BD10" s="41">
        <v>3058692.3689999999</v>
      </c>
      <c r="BE10" s="41"/>
      <c r="BG10" s="29">
        <f>BG11+BG12+BG13+BG14+BG15+BG16+BG17+BG18+BG19+BG20</f>
        <v>13625259.762999998</v>
      </c>
      <c r="BH10" s="29">
        <f>AB10-BG10</f>
        <v>0</v>
      </c>
      <c r="BI10" s="63"/>
      <c r="BJ10" s="63"/>
      <c r="BK10" s="63"/>
      <c r="BL10" s="63"/>
      <c r="BM10" s="63"/>
      <c r="BN10" s="64">
        <f t="shared" ref="BN10:BQ10" si="9">BN11+BN12+BN13+BN14+BN15+BN16+BN17+BN18+BN19+BN20+BN21</f>
        <v>9952483.2870000005</v>
      </c>
      <c r="BO10" s="65">
        <f t="shared" si="9"/>
        <v>2090904.7999999998</v>
      </c>
      <c r="BP10" s="66">
        <f t="shared" si="9"/>
        <v>137453.535</v>
      </c>
      <c r="BQ10" s="67">
        <f t="shared" si="9"/>
        <v>0</v>
      </c>
      <c r="BR10" s="46">
        <f t="shared" ref="BR10:BT10" si="10">SUM(BR11:BR20)</f>
        <v>6194822.0651599998</v>
      </c>
      <c r="BS10" s="46">
        <v>5500000</v>
      </c>
      <c r="BT10" s="46">
        <f t="shared" si="10"/>
        <v>6054177.6209999993</v>
      </c>
      <c r="BU10" s="46">
        <f t="shared" ref="BU10" si="11">SUM(BU11:BU20)</f>
        <v>21786642.697299998</v>
      </c>
    </row>
    <row r="11" spans="1:74" ht="21.6" customHeight="1" x14ac:dyDescent="0.25">
      <c r="A11" s="28" t="s">
        <v>50</v>
      </c>
      <c r="B11" s="29">
        <v>1922474.5</v>
      </c>
      <c r="C11" s="29">
        <v>3120118.4</v>
      </c>
      <c r="D11" s="29">
        <v>4133852.3</v>
      </c>
      <c r="E11" s="29">
        <f>5486430.725</f>
        <v>5486430.7249999996</v>
      </c>
      <c r="F11" s="29">
        <v>6915598.2999999998</v>
      </c>
      <c r="G11" s="29">
        <v>7625902.3480000002</v>
      </c>
      <c r="H11" s="29">
        <v>7328000</v>
      </c>
      <c r="I11" s="29">
        <v>9823594.1582299992</v>
      </c>
      <c r="J11" s="29">
        <v>8272300</v>
      </c>
      <c r="K11" s="29">
        <f>808000</f>
        <v>808000</v>
      </c>
      <c r="L11" s="29">
        <v>9080300</v>
      </c>
      <c r="M11" s="29">
        <v>11236214.43485</v>
      </c>
      <c r="N11" s="29">
        <v>10830690</v>
      </c>
      <c r="O11" s="29">
        <v>10830690</v>
      </c>
      <c r="P11" s="29">
        <v>10830690</v>
      </c>
      <c r="Q11" s="186"/>
      <c r="R11" s="202"/>
      <c r="S11" s="28" t="s">
        <v>51</v>
      </c>
      <c r="T11" s="29">
        <f>43460+3410.9</f>
        <v>46870.9</v>
      </c>
      <c r="U11" s="32">
        <f>79380.09844+34434.8</f>
        <v>113814.89844</v>
      </c>
      <c r="V11" s="29">
        <v>124030.89</v>
      </c>
      <c r="W11" s="29">
        <f>AE11+AF11+AG11+AH11</f>
        <v>47885.224000000002</v>
      </c>
      <c r="X11" s="29">
        <f>AI11+AJ11+AK11+AL11+AT11</f>
        <v>56332.800000000003</v>
      </c>
      <c r="Y11" s="35">
        <v>64594.8</v>
      </c>
      <c r="Z11" s="29">
        <v>46785.95</v>
      </c>
      <c r="AA11" s="29">
        <f>52750.25511+0</f>
        <v>52750.255109999998</v>
      </c>
      <c r="AB11" s="29">
        <f>BG11</f>
        <v>30521.599999999999</v>
      </c>
      <c r="AC11" s="68">
        <f>5000</f>
        <v>5000</v>
      </c>
      <c r="AD11" s="29">
        <f>BN11+BO11</f>
        <v>76764.799999999988</v>
      </c>
      <c r="AE11" s="38"/>
      <c r="AF11" s="69">
        <v>24534.717000000001</v>
      </c>
      <c r="AG11" s="69">
        <v>23350.507000000001</v>
      </c>
      <c r="AH11" s="69"/>
      <c r="AI11" s="70"/>
      <c r="AJ11" s="70"/>
      <c r="AK11" s="70">
        <f>29097.63</f>
        <v>29097.63</v>
      </c>
      <c r="AL11" s="71">
        <v>6622.8</v>
      </c>
      <c r="AM11" s="72"/>
      <c r="AN11" s="72">
        <v>6622.8</v>
      </c>
      <c r="AO11" s="72"/>
      <c r="AP11" s="72"/>
      <c r="AQ11" s="72"/>
      <c r="AR11" s="72"/>
      <c r="AS11" s="72">
        <f>AL11-AM11-AN11-AO11-AP11-AR11-AQ11</f>
        <v>0</v>
      </c>
      <c r="AT11" s="70">
        <v>20612.37</v>
      </c>
      <c r="AY11" s="73">
        <v>3249.8040000000001</v>
      </c>
      <c r="AZ11" s="73"/>
      <c r="BA11" s="73"/>
      <c r="BC11" s="41">
        <v>44158.686000000002</v>
      </c>
      <c r="BD11" s="41"/>
      <c r="BE11" s="41">
        <f>BC11+BD11</f>
        <v>44158.686000000002</v>
      </c>
      <c r="BF11" s="33">
        <f>Y11-BE11</f>
        <v>20436.114000000001</v>
      </c>
      <c r="BG11" s="68">
        <f>30521.6</f>
        <v>30521.599999999999</v>
      </c>
      <c r="BI11" s="74">
        <f>52750.25511</f>
        <v>52750.255109999998</v>
      </c>
      <c r="BJ11" s="74"/>
      <c r="BK11" s="74">
        <v>0</v>
      </c>
      <c r="BL11" s="74"/>
      <c r="BM11" s="75">
        <f>BI11+BJ11+BK11+BL11-AA11</f>
        <v>0</v>
      </c>
      <c r="BN11" s="76">
        <v>65945.899999999994</v>
      </c>
      <c r="BO11" s="77">
        <v>10818.9</v>
      </c>
      <c r="BP11" s="78"/>
      <c r="BQ11" s="79"/>
      <c r="BR11" s="29">
        <v>19923.42052</v>
      </c>
      <c r="BS11" s="29"/>
      <c r="BT11" s="29">
        <v>8820</v>
      </c>
      <c r="BU11" s="29">
        <v>779237.47699999996</v>
      </c>
      <c r="BV11" s="182"/>
    </row>
    <row r="12" spans="1:74" ht="22.5" x14ac:dyDescent="0.2">
      <c r="A12" s="28" t="s">
        <v>52</v>
      </c>
      <c r="B12" s="80">
        <v>666985.6</v>
      </c>
      <c r="C12" s="80">
        <f>712135.6+234.1</f>
        <v>712369.7</v>
      </c>
      <c r="D12" s="29">
        <v>1035236.08</v>
      </c>
      <c r="E12" s="29">
        <f>32041.298+52918.42-889.115+32983.588+59.782+37.572+738982.096+2000.562</f>
        <v>858134.2030000001</v>
      </c>
      <c r="F12" s="29">
        <f>47135.43+66.57+63628.67+9.27+85.75+703002.68+785.65+35716.1</f>
        <v>850430.12000000011</v>
      </c>
      <c r="G12" s="29">
        <f>30970.046-6.616+2239.51+34692.883-5.097-24.726+718833.882+1194.714</f>
        <v>787894.59600000002</v>
      </c>
      <c r="H12" s="29">
        <f>35750+31555+667035+100</f>
        <v>734440</v>
      </c>
      <c r="I12" s="29">
        <f>953834.27051+76422.16211</f>
        <v>1030256.43262</v>
      </c>
      <c r="J12" s="29">
        <f>36233+33350+711700+100</f>
        <v>781383</v>
      </c>
      <c r="K12" s="29"/>
      <c r="L12" s="29">
        <v>819793.5</v>
      </c>
      <c r="M12" s="29">
        <v>822703.23254</v>
      </c>
      <c r="N12" s="29">
        <f>38880+39000+469700+100</f>
        <v>547680</v>
      </c>
      <c r="O12" s="29">
        <f>38880+39000+469700+100</f>
        <v>547680</v>
      </c>
      <c r="P12" s="29">
        <f>38880+39000+469700+100</f>
        <v>547680</v>
      </c>
      <c r="Q12" s="186"/>
      <c r="R12" s="202"/>
      <c r="S12" s="28" t="s">
        <v>53</v>
      </c>
      <c r="T12" s="29">
        <f>279900.8+257843.41</f>
        <v>537744.21</v>
      </c>
      <c r="U12" s="32">
        <f>625507.57205+408424.6</f>
        <v>1033932.1720499999</v>
      </c>
      <c r="V12" s="29">
        <v>1826341.61</v>
      </c>
      <c r="W12" s="29">
        <f t="shared" ref="W12:W19" si="12">AE12+AF12+AG12+AH12</f>
        <v>1786693.9340000001</v>
      </c>
      <c r="X12" s="29">
        <f t="shared" ref="X12:X19" si="13">AI12+AJ12+AK12+AL12+AT12</f>
        <v>1938550.23</v>
      </c>
      <c r="Y12" s="35">
        <v>2848937.8169999998</v>
      </c>
      <c r="Z12" s="29">
        <v>1225206.72</v>
      </c>
      <c r="AA12" s="29">
        <f>1128180.60731+397130.34005+113991.57737</f>
        <v>1639302.5247300002</v>
      </c>
      <c r="AB12" s="29">
        <f t="shared" ref="AB12:AB19" si="14">BG12</f>
        <v>1510475.05</v>
      </c>
      <c r="AC12" s="68">
        <f>283760+90000+25000</f>
        <v>398760</v>
      </c>
      <c r="AD12" s="29">
        <f t="shared" ref="AD12:AD18" si="15">BN12+BO12</f>
        <v>1883338.8459999999</v>
      </c>
      <c r="AE12" s="38"/>
      <c r="AF12" s="69">
        <f>1164338.982+243229.582+(31493.968)</f>
        <v>1439062.5320000001</v>
      </c>
      <c r="AG12" s="69">
        <v>246863.17499999999</v>
      </c>
      <c r="AH12" s="69">
        <f>4607.221+45749.053+5170.123+12083.66+1000+2678.334+104.62+1350+28025.216</f>
        <v>100768.227</v>
      </c>
      <c r="AI12" s="70">
        <v>84317.78</v>
      </c>
      <c r="AJ12" s="70">
        <v>10125</v>
      </c>
      <c r="AK12" s="70">
        <v>723412.65</v>
      </c>
      <c r="AL12" s="71">
        <f>596312.26+415799.6+1438.54+0.01</f>
        <v>1013550.41</v>
      </c>
      <c r="AM12" s="72">
        <v>596312.26</v>
      </c>
      <c r="AN12" s="72"/>
      <c r="AO12" s="72">
        <v>415799.61</v>
      </c>
      <c r="AP12" s="72"/>
      <c r="AQ12" s="72"/>
      <c r="AR12" s="72">
        <v>1438.54</v>
      </c>
      <c r="AS12" s="72">
        <f t="shared" ref="AS12:AS20" si="16">AL12-AM12-AN12-AO12-AP12-AR12-AQ12</f>
        <v>3.7289282772690058E-11</v>
      </c>
      <c r="AT12" s="70">
        <v>107144.39</v>
      </c>
      <c r="AY12" s="73">
        <v>806711.84699999995</v>
      </c>
      <c r="AZ12" s="73"/>
      <c r="BA12" s="73">
        <v>42037.758000000002</v>
      </c>
      <c r="BC12" s="41">
        <v>1679501.554</v>
      </c>
      <c r="BD12" s="41">
        <f>26485.162+760463.437</f>
        <v>786948.59900000005</v>
      </c>
      <c r="BE12" s="41">
        <f t="shared" ref="BE12:BE20" si="17">BC12+BD12</f>
        <v>2466450.1529999999</v>
      </c>
      <c r="BF12" s="33">
        <f t="shared" ref="BF12:BF20" si="18">Y12-BE12</f>
        <v>382487.66399999987</v>
      </c>
      <c r="BG12" s="68">
        <f>700000+804006.3+6468.75</f>
        <v>1510475.05</v>
      </c>
      <c r="BI12" s="74">
        <f>1128180.60731</f>
        <v>1128180.6073100001</v>
      </c>
      <c r="BJ12" s="74">
        <f>397130.34005</f>
        <v>397130.34005</v>
      </c>
      <c r="BK12" s="74">
        <v>113991.57737</v>
      </c>
      <c r="BL12" s="74"/>
      <c r="BM12" s="75">
        <f t="shared" ref="BM12:BM20" si="19">BI12+BJ12+BK12+BL12-AA12</f>
        <v>0</v>
      </c>
      <c r="BN12" s="76">
        <v>1149015.746</v>
      </c>
      <c r="BO12" s="81">
        <v>734323.1</v>
      </c>
      <c r="BP12" s="78"/>
      <c r="BQ12" s="82"/>
      <c r="BR12" s="29">
        <v>668270.33394000004</v>
      </c>
      <c r="BS12" s="29"/>
      <c r="BT12" s="29">
        <v>392476.67</v>
      </c>
      <c r="BU12" s="29">
        <v>1185212.176</v>
      </c>
    </row>
    <row r="13" spans="1:74" ht="22.5" x14ac:dyDescent="0.2">
      <c r="A13" s="83" t="s">
        <v>54</v>
      </c>
      <c r="B13" s="46">
        <f>SUM(B14:B19)+677871.5</f>
        <v>9475758</v>
      </c>
      <c r="C13" s="46">
        <f>SUM(C14:C21)+78305.8</f>
        <v>9418931.8000000007</v>
      </c>
      <c r="D13" s="46">
        <v>13047313.35</v>
      </c>
      <c r="E13" s="46">
        <v>13513775.101</v>
      </c>
      <c r="F13" s="46">
        <f>12217557.48</f>
        <v>12217557.48</v>
      </c>
      <c r="G13" s="46">
        <v>6370148.6430000002</v>
      </c>
      <c r="H13" s="46">
        <v>5725347.7999999998</v>
      </c>
      <c r="I13" s="46">
        <v>6532985.3082699999</v>
      </c>
      <c r="J13" s="46">
        <v>5999207.4000000004</v>
      </c>
      <c r="K13" s="46">
        <v>313475.09999999998</v>
      </c>
      <c r="L13" s="46">
        <v>6423849.6399999997</v>
      </c>
      <c r="M13" s="46">
        <v>6372151.6745199999</v>
      </c>
      <c r="N13" s="46">
        <v>207664.6</v>
      </c>
      <c r="O13" s="46">
        <f>207664.6+5018699.8</f>
        <v>5226364.3999999994</v>
      </c>
      <c r="P13" s="46">
        <v>5455143.4000000004</v>
      </c>
      <c r="Q13" s="186"/>
      <c r="R13" s="202"/>
      <c r="S13" s="28" t="s">
        <v>55</v>
      </c>
      <c r="T13" s="29">
        <f>95154.4+50553.2</f>
        <v>145707.59999999998</v>
      </c>
      <c r="U13" s="32">
        <f>882297.85278+80249.2</f>
        <v>962547.05277999991</v>
      </c>
      <c r="V13" s="29">
        <v>1222323.07</v>
      </c>
      <c r="W13" s="29">
        <f t="shared" si="12"/>
        <v>1409371.524</v>
      </c>
      <c r="X13" s="29">
        <f t="shared" si="13"/>
        <v>1922939.52</v>
      </c>
      <c r="Y13" s="35">
        <v>1656894.507</v>
      </c>
      <c r="Z13" s="29">
        <v>491509.6</v>
      </c>
      <c r="AA13" s="29">
        <f>1164286.22522+112537.3559+52944.48646</f>
        <v>1329768.06758</v>
      </c>
      <c r="AB13" s="29">
        <f t="shared" si="14"/>
        <v>459955.1</v>
      </c>
      <c r="AC13" s="68">
        <f>182260</f>
        <v>182260</v>
      </c>
      <c r="AD13" s="29">
        <f t="shared" si="15"/>
        <v>655214.60000000009</v>
      </c>
      <c r="AE13" s="38"/>
      <c r="AF13" s="69">
        <v>1371007.953</v>
      </c>
      <c r="AG13" s="69">
        <f>28581.722+100.278</f>
        <v>28682</v>
      </c>
      <c r="AH13" s="69">
        <f>4716.89+4964.681</f>
        <v>9681.5709999999999</v>
      </c>
      <c r="AI13" s="70">
        <v>87899.91</v>
      </c>
      <c r="AJ13" s="70">
        <v>2355.6999999999998</v>
      </c>
      <c r="AK13" s="70">
        <v>1549165.63</v>
      </c>
      <c r="AL13" s="71">
        <f>163284.96+76897.29+3246.38</f>
        <v>243428.63</v>
      </c>
      <c r="AM13" s="72">
        <v>163284.96</v>
      </c>
      <c r="AN13" s="72"/>
      <c r="AO13" s="72"/>
      <c r="AP13" s="72">
        <v>76897.289999999994</v>
      </c>
      <c r="AQ13" s="72"/>
      <c r="AR13" s="72">
        <v>3246.38</v>
      </c>
      <c r="AS13" s="72">
        <f t="shared" si="16"/>
        <v>1.9099388737231493E-11</v>
      </c>
      <c r="AT13" s="70">
        <v>40089.65</v>
      </c>
      <c r="AY13" s="73">
        <f>167892.301</f>
        <v>167892.30100000001</v>
      </c>
      <c r="AZ13" s="84">
        <v>1452.3440000000001</v>
      </c>
      <c r="BA13" s="73">
        <v>16601.935000000001</v>
      </c>
      <c r="BC13" s="41">
        <v>1494936.017</v>
      </c>
      <c r="BD13" s="41">
        <f>166439.957</f>
        <v>166439.95699999999</v>
      </c>
      <c r="BE13" s="41">
        <f t="shared" si="17"/>
        <v>1661375.9739999999</v>
      </c>
      <c r="BF13" s="33">
        <f t="shared" si="18"/>
        <v>-4481.466999999946</v>
      </c>
      <c r="BG13" s="68">
        <f>250000+209955.1</f>
        <v>459955.1</v>
      </c>
      <c r="BI13" s="74">
        <f>1164286.22522</f>
        <v>1164286.2252199999</v>
      </c>
      <c r="BJ13" s="74">
        <v>112537.3559</v>
      </c>
      <c r="BK13" s="74">
        <v>52944.48646</v>
      </c>
      <c r="BL13" s="74"/>
      <c r="BM13" s="75">
        <f t="shared" si="19"/>
        <v>0</v>
      </c>
      <c r="BN13" s="76">
        <v>435078.40000000002</v>
      </c>
      <c r="BO13" s="81">
        <v>220136.2</v>
      </c>
      <c r="BP13" s="78"/>
      <c r="BQ13" s="82"/>
      <c r="BR13" s="29">
        <v>843286.05842999998</v>
      </c>
      <c r="BS13" s="29"/>
      <c r="BT13" s="29">
        <v>494079.56099999999</v>
      </c>
      <c r="BU13" s="29">
        <v>2632906.0040000002</v>
      </c>
    </row>
    <row r="14" spans="1:74" ht="22.5" x14ac:dyDescent="0.2">
      <c r="A14" s="85" t="s">
        <v>56</v>
      </c>
      <c r="B14" s="29">
        <v>2114709.2999999998</v>
      </c>
      <c r="C14" s="29">
        <f>2226941.3+27749.9</f>
        <v>2254691.1999999997</v>
      </c>
      <c r="D14" s="86">
        <v>3184704.2</v>
      </c>
      <c r="E14" s="86">
        <v>2838033.7</v>
      </c>
      <c r="F14" s="86">
        <v>3529613.6</v>
      </c>
      <c r="G14" s="86">
        <v>4202013.8</v>
      </c>
      <c r="H14" s="86">
        <v>5407135.9000000004</v>
      </c>
      <c r="I14" s="86">
        <v>5407135.9000000004</v>
      </c>
      <c r="J14" s="86">
        <v>5901182.5</v>
      </c>
      <c r="K14" s="86">
        <v>94323.9</v>
      </c>
      <c r="L14" s="29">
        <v>5576332.5999999996</v>
      </c>
      <c r="M14" s="29">
        <v>5588883.0999999996</v>
      </c>
      <c r="N14" s="29"/>
      <c r="O14" s="29">
        <v>5018699.8</v>
      </c>
      <c r="P14" s="29">
        <v>5207934.9000000004</v>
      </c>
      <c r="Q14" s="186"/>
      <c r="R14" s="202"/>
      <c r="S14" s="28" t="s">
        <v>57</v>
      </c>
      <c r="T14" s="29">
        <f>12335.5+1741.1</f>
        <v>14076.6</v>
      </c>
      <c r="U14" s="32">
        <f>74890.43514-U15+65632.9</f>
        <v>125267.10170999999</v>
      </c>
      <c r="V14" s="29">
        <v>247292.99</v>
      </c>
      <c r="W14" s="29">
        <f>AE14+AF14+AG14+AH14-W15</f>
        <v>238225.04900000003</v>
      </c>
      <c r="X14" s="29">
        <f>AI14+AJ14+AK14+AL14+AT14-X15</f>
        <v>223962.07000000004</v>
      </c>
      <c r="Y14" s="35">
        <v>263273.96999999997</v>
      </c>
      <c r="Z14" s="29">
        <v>249681.9</v>
      </c>
      <c r="AA14" s="29">
        <f>387642.89458-AA15+88243.37978</f>
        <v>456013.97442000004</v>
      </c>
      <c r="AB14" s="29">
        <f t="shared" si="14"/>
        <v>195232.6</v>
      </c>
      <c r="AC14" s="68">
        <f>11750</f>
        <v>11750</v>
      </c>
      <c r="AD14" s="29">
        <f t="shared" si="15"/>
        <v>214689.46000000002</v>
      </c>
      <c r="AE14" s="38"/>
      <c r="AF14" s="69">
        <v>100856.894</v>
      </c>
      <c r="AG14" s="69">
        <v>17244.531999999999</v>
      </c>
      <c r="AH14" s="69">
        <f>6976.504+31603.425+106745.398</f>
        <v>145325.32699999999</v>
      </c>
      <c r="AI14" s="70">
        <f>129788.84</f>
        <v>129788.84</v>
      </c>
      <c r="AJ14" s="70"/>
      <c r="AK14" s="70">
        <f>114210.69</f>
        <v>114210.69</v>
      </c>
      <c r="AL14" s="71">
        <v>4065.16</v>
      </c>
      <c r="AM14" s="72">
        <v>4065.16</v>
      </c>
      <c r="AN14" s="72"/>
      <c r="AO14" s="72"/>
      <c r="AP14" s="72"/>
      <c r="AQ14" s="72"/>
      <c r="AR14" s="72"/>
      <c r="AS14" s="72">
        <f t="shared" si="16"/>
        <v>0</v>
      </c>
      <c r="AT14" s="70">
        <v>15133.15</v>
      </c>
      <c r="AY14" s="73">
        <v>7005.433</v>
      </c>
      <c r="AZ14" s="84"/>
      <c r="BA14" s="73"/>
      <c r="BC14" s="41">
        <v>222192.65400000001</v>
      </c>
      <c r="BD14" s="41">
        <v>7005.433</v>
      </c>
      <c r="BE14" s="41">
        <f t="shared" si="17"/>
        <v>229198.087</v>
      </c>
      <c r="BF14" s="33">
        <f t="shared" si="18"/>
        <v>34075.882999999973</v>
      </c>
      <c r="BG14" s="68">
        <f>70000+95000+30232.6</f>
        <v>195232.6</v>
      </c>
      <c r="BI14" s="74">
        <f>387642.89458-BI15</f>
        <v>367770.59464000002</v>
      </c>
      <c r="BJ14" s="74">
        <v>88243.379780000003</v>
      </c>
      <c r="BK14" s="74"/>
      <c r="BL14" s="74"/>
      <c r="BM14" s="75">
        <f t="shared" si="19"/>
        <v>0</v>
      </c>
      <c r="BN14" s="76">
        <v>113574.76000000001</v>
      </c>
      <c r="BO14" s="81">
        <v>101114.7</v>
      </c>
      <c r="BP14" s="78"/>
      <c r="BQ14" s="82"/>
      <c r="BR14" s="29">
        <v>71495.71862</v>
      </c>
      <c r="BS14" s="29"/>
      <c r="BT14" s="29">
        <v>99398.543000000005</v>
      </c>
      <c r="BU14" s="29">
        <v>412063.83929999999</v>
      </c>
    </row>
    <row r="15" spans="1:74" ht="22.5" x14ac:dyDescent="0.2">
      <c r="A15" s="85" t="s">
        <v>58</v>
      </c>
      <c r="B15" s="29">
        <v>292244.90000000002</v>
      </c>
      <c r="C15" s="29"/>
      <c r="D15" s="86"/>
      <c r="E15" s="86"/>
      <c r="F15" s="86"/>
      <c r="G15" s="86"/>
      <c r="H15" s="86"/>
      <c r="I15" s="86"/>
      <c r="J15" s="86"/>
      <c r="K15" s="86"/>
      <c r="L15" s="29"/>
      <c r="M15" s="29">
        <v>0</v>
      </c>
      <c r="N15" s="29"/>
      <c r="O15" s="29"/>
      <c r="P15" s="29"/>
      <c r="Q15" s="186"/>
      <c r="R15" s="202"/>
      <c r="S15" s="28" t="s">
        <v>59</v>
      </c>
      <c r="T15" s="29">
        <v>7783.3</v>
      </c>
      <c r="U15" s="32">
        <f>15256.23343</f>
        <v>15256.23343</v>
      </c>
      <c r="V15" s="29">
        <v>24713.45</v>
      </c>
      <c r="W15" s="29">
        <f>5624.361+14147.977+5429.366</f>
        <v>25201.703999999998</v>
      </c>
      <c r="X15" s="29">
        <v>39235.769999999997</v>
      </c>
      <c r="Y15" s="35">
        <v>37912.512000000002</v>
      </c>
      <c r="Z15" s="29">
        <v>11399.07</v>
      </c>
      <c r="AA15" s="29">
        <f>19872.29994</f>
        <v>19872.299940000001</v>
      </c>
      <c r="AB15" s="29">
        <f t="shared" si="14"/>
        <v>16289.779999999999</v>
      </c>
      <c r="AC15" s="68">
        <f>2398.7</f>
        <v>2398.6999999999998</v>
      </c>
      <c r="AD15" s="29">
        <f t="shared" si="15"/>
        <v>20559.994999999999</v>
      </c>
      <c r="AE15" s="38"/>
      <c r="AF15" s="69"/>
      <c r="AG15" s="69"/>
      <c r="AH15" s="69"/>
      <c r="AI15" s="70"/>
      <c r="AJ15" s="70"/>
      <c r="AK15" s="70"/>
      <c r="AL15" s="71"/>
      <c r="AM15" s="72"/>
      <c r="AN15" s="72"/>
      <c r="AO15" s="72"/>
      <c r="AP15" s="72"/>
      <c r="AQ15" s="72"/>
      <c r="AR15" s="72"/>
      <c r="AS15" s="72">
        <f t="shared" si="16"/>
        <v>0</v>
      </c>
      <c r="AT15" s="70"/>
      <c r="AY15" s="73">
        <v>0</v>
      </c>
      <c r="AZ15" s="84"/>
      <c r="BA15" s="73"/>
      <c r="BC15" s="41">
        <v>34886.567000000003</v>
      </c>
      <c r="BD15" s="41"/>
      <c r="BE15" s="41">
        <f t="shared" si="17"/>
        <v>34886.567000000003</v>
      </c>
      <c r="BF15" s="33">
        <f t="shared" si="18"/>
        <v>3025.9449999999997</v>
      </c>
      <c r="BG15" s="68">
        <f>10000+6289.78</f>
        <v>16289.779999999999</v>
      </c>
      <c r="BI15" s="74">
        <f>19872.29994</f>
        <v>19872.299940000001</v>
      </c>
      <c r="BJ15" s="74"/>
      <c r="BK15" s="74"/>
      <c r="BL15" s="74"/>
      <c r="BM15" s="75">
        <f t="shared" si="19"/>
        <v>0</v>
      </c>
      <c r="BN15" s="76">
        <v>20559.994999999999</v>
      </c>
      <c r="BO15" s="81"/>
      <c r="BP15" s="78"/>
      <c r="BQ15" s="82"/>
      <c r="BR15" s="29">
        <v>6723.7573499999999</v>
      </c>
      <c r="BS15" s="29"/>
      <c r="BT15" s="29">
        <v>2000</v>
      </c>
      <c r="BU15" s="29">
        <v>4800</v>
      </c>
    </row>
    <row r="16" spans="1:74" ht="22.5" x14ac:dyDescent="0.2">
      <c r="A16" s="85" t="s">
        <v>60</v>
      </c>
      <c r="B16" s="29">
        <v>3192620.8</v>
      </c>
      <c r="C16" s="29">
        <f>3094638.1+110780.9</f>
        <v>3205419</v>
      </c>
      <c r="D16" s="86">
        <v>4121560.5</v>
      </c>
      <c r="E16" s="86">
        <v>4334525.7</v>
      </c>
      <c r="F16" s="86">
        <v>4269656.9000000004</v>
      </c>
      <c r="G16" s="86">
        <v>1126026.098</v>
      </c>
      <c r="H16" s="86">
        <v>0</v>
      </c>
      <c r="I16" s="86">
        <v>0</v>
      </c>
      <c r="J16" s="86">
        <v>0</v>
      </c>
      <c r="K16" s="86"/>
      <c r="L16" s="29"/>
      <c r="M16" s="29"/>
      <c r="N16" s="29"/>
      <c r="O16" s="29"/>
      <c r="P16" s="29"/>
      <c r="Q16" s="26"/>
      <c r="R16" s="202"/>
      <c r="S16" s="28" t="s">
        <v>61</v>
      </c>
      <c r="T16" s="29">
        <f>14875.9+67595.55</f>
        <v>82471.45</v>
      </c>
      <c r="U16" s="32">
        <f>89340.89127+92567.7</f>
        <v>181908.59126999998</v>
      </c>
      <c r="V16" s="29">
        <v>245836.66</v>
      </c>
      <c r="W16" s="29">
        <f t="shared" si="12"/>
        <v>291079.00099999999</v>
      </c>
      <c r="X16" s="29">
        <f t="shared" si="13"/>
        <v>445495.18</v>
      </c>
      <c r="Y16" s="35">
        <v>606798.34400000004</v>
      </c>
      <c r="Z16" s="29">
        <v>295442.48</v>
      </c>
      <c r="AA16" s="29">
        <f>114983.75711+154866.46892+1194.36564</f>
        <v>271044.59166999999</v>
      </c>
      <c r="AB16" s="29">
        <f t="shared" si="14"/>
        <v>183000</v>
      </c>
      <c r="AC16" s="68">
        <f>4687+20000</f>
        <v>24687</v>
      </c>
      <c r="AD16" s="29">
        <f t="shared" si="15"/>
        <v>132310.28200000001</v>
      </c>
      <c r="AE16" s="38"/>
      <c r="AF16" s="69">
        <f>224589.576+7378.177+35871.936</f>
        <v>267839.68900000001</v>
      </c>
      <c r="AG16" s="69">
        <v>18168.312000000002</v>
      </c>
      <c r="AH16" s="69">
        <v>5071</v>
      </c>
      <c r="AI16" s="70"/>
      <c r="AJ16" s="70"/>
      <c r="AK16" s="70">
        <v>58002.64</v>
      </c>
      <c r="AL16" s="71">
        <f>332376.94+9.2+3827.6-0.01</f>
        <v>336213.73</v>
      </c>
      <c r="AM16" s="72">
        <v>332376.94</v>
      </c>
      <c r="AN16" s="72">
        <v>9.19</v>
      </c>
      <c r="AO16" s="72"/>
      <c r="AP16" s="72"/>
      <c r="AQ16" s="72">
        <f>171.9+150+334.85+1639.59+1124.76+200+60.1+146.4</f>
        <v>3827.6000000000004</v>
      </c>
      <c r="AR16" s="72"/>
      <c r="AS16" s="72">
        <f t="shared" si="16"/>
        <v>-2.1373125491663814E-11</v>
      </c>
      <c r="AT16" s="70">
        <v>51278.81</v>
      </c>
      <c r="AY16" s="73">
        <v>414917.86900000001</v>
      </c>
      <c r="AZ16" s="84"/>
      <c r="BA16" s="73">
        <v>0</v>
      </c>
      <c r="BC16" s="41">
        <v>153438.26199999999</v>
      </c>
      <c r="BD16" s="41">
        <f>2759.5+412158.368</f>
        <v>414917.86800000002</v>
      </c>
      <c r="BE16" s="41">
        <f t="shared" si="17"/>
        <v>568356.13</v>
      </c>
      <c r="BF16" s="33">
        <f t="shared" si="18"/>
        <v>38442.214000000036</v>
      </c>
      <c r="BG16" s="68">
        <f>90000+91000+2000</f>
        <v>183000</v>
      </c>
      <c r="BI16" s="74">
        <f>114983.75711</f>
        <v>114983.75711000001</v>
      </c>
      <c r="BJ16" s="74">
        <v>154866.46892000001</v>
      </c>
      <c r="BK16" s="74">
        <v>1194.36564</v>
      </c>
      <c r="BL16" s="74"/>
      <c r="BM16" s="75">
        <f t="shared" si="19"/>
        <v>0</v>
      </c>
      <c r="BN16" s="76">
        <v>41310.281999999999</v>
      </c>
      <c r="BO16" s="81">
        <v>91000</v>
      </c>
      <c r="BP16" s="87"/>
      <c r="BQ16" s="82"/>
      <c r="BR16" s="29">
        <v>11190.078219999999</v>
      </c>
      <c r="BS16" s="29"/>
      <c r="BT16" s="29">
        <v>3856.78</v>
      </c>
      <c r="BU16" s="29">
        <v>77745.88</v>
      </c>
    </row>
    <row r="17" spans="1:73" ht="22.5" x14ac:dyDescent="0.2">
      <c r="A17" s="85" t="s">
        <v>62</v>
      </c>
      <c r="B17" s="29">
        <v>29200</v>
      </c>
      <c r="C17" s="29"/>
      <c r="D17" s="86"/>
      <c r="E17" s="86"/>
      <c r="F17" s="86"/>
      <c r="G17" s="88"/>
      <c r="H17" s="86"/>
      <c r="I17" s="86"/>
      <c r="J17" s="86"/>
      <c r="K17" s="86"/>
      <c r="L17" s="29"/>
      <c r="M17" s="29"/>
      <c r="N17" s="29"/>
      <c r="O17" s="29"/>
      <c r="P17" s="29"/>
      <c r="Q17" s="186"/>
      <c r="R17" s="202"/>
      <c r="S17" s="28" t="s">
        <v>63</v>
      </c>
      <c r="T17" s="29">
        <f>24905.1+130.62</f>
        <v>25035.719999999998</v>
      </c>
      <c r="U17" s="32">
        <f>44193.3365+77905.3</f>
        <v>122098.63649999999</v>
      </c>
      <c r="V17" s="29">
        <v>144101.03</v>
      </c>
      <c r="W17" s="29">
        <f t="shared" si="12"/>
        <v>173542.47000000003</v>
      </c>
      <c r="X17" s="29">
        <f t="shared" si="13"/>
        <v>230213.27999999997</v>
      </c>
      <c r="Y17" s="35">
        <v>197965.48</v>
      </c>
      <c r="Z17" s="29">
        <v>70527.483999999997</v>
      </c>
      <c r="AA17" s="29">
        <f>51213.86818+5889.9328+16620.35087+5821.36322</f>
        <v>79545.515069999994</v>
      </c>
      <c r="AB17" s="29">
        <f t="shared" si="14"/>
        <v>122500</v>
      </c>
      <c r="AC17" s="68">
        <f>5000</f>
        <v>5000</v>
      </c>
      <c r="AD17" s="29">
        <f t="shared" si="15"/>
        <v>180308.992</v>
      </c>
      <c r="AE17" s="38"/>
      <c r="AF17" s="69">
        <f>48013.123+73447.653</f>
        <v>121460.77600000001</v>
      </c>
      <c r="AG17" s="89">
        <v>36217.785000000003</v>
      </c>
      <c r="AH17" s="69">
        <v>15863.909</v>
      </c>
      <c r="AI17" s="70"/>
      <c r="AJ17" s="70"/>
      <c r="AK17" s="70">
        <v>51670.02</v>
      </c>
      <c r="AL17" s="71">
        <f>47278.79+99933.9+224.8+0.02</f>
        <v>147437.50999999998</v>
      </c>
      <c r="AM17" s="72">
        <v>47278.79</v>
      </c>
      <c r="AN17" s="72"/>
      <c r="AO17" s="72">
        <v>99933.9</v>
      </c>
      <c r="AP17" s="72">
        <v>224.82</v>
      </c>
      <c r="AQ17" s="72"/>
      <c r="AR17" s="72"/>
      <c r="AS17" s="72">
        <f t="shared" si="16"/>
        <v>-2.2112089936854318E-11</v>
      </c>
      <c r="AT17" s="70">
        <v>31105.75</v>
      </c>
      <c r="AY17" s="73">
        <v>10410.831</v>
      </c>
      <c r="AZ17" s="84"/>
      <c r="BA17" s="73"/>
      <c r="BC17" s="41">
        <v>133549.41699999999</v>
      </c>
      <c r="BD17" s="41">
        <f>8386.392+59.88</f>
        <v>8446.271999999999</v>
      </c>
      <c r="BE17" s="41">
        <f t="shared" si="17"/>
        <v>141995.68899999998</v>
      </c>
      <c r="BF17" s="33">
        <f t="shared" si="18"/>
        <v>55969.791000000027</v>
      </c>
      <c r="BG17" s="68">
        <f>50000+66500+6000</f>
        <v>122500</v>
      </c>
      <c r="BI17" s="74">
        <f>51213.86818</f>
        <v>51213.868179999998</v>
      </c>
      <c r="BJ17" s="74">
        <v>5889.9327999999996</v>
      </c>
      <c r="BK17" s="74">
        <v>16620.350869999998</v>
      </c>
      <c r="BL17" s="74">
        <f>5437.03202+384.3312</f>
        <v>5821.3632199999993</v>
      </c>
      <c r="BM17" s="75">
        <f t="shared" si="19"/>
        <v>0</v>
      </c>
      <c r="BN17" s="76">
        <v>113808.992</v>
      </c>
      <c r="BO17" s="81">
        <v>66500</v>
      </c>
      <c r="BP17" s="78"/>
      <c r="BQ17" s="82"/>
      <c r="BR17" s="29">
        <v>15911.198270000001</v>
      </c>
      <c r="BS17" s="29"/>
      <c r="BT17" s="29">
        <v>640</v>
      </c>
      <c r="BU17" s="29">
        <v>121712.89200000001</v>
      </c>
    </row>
    <row r="18" spans="1:73" ht="22.5" x14ac:dyDescent="0.2">
      <c r="A18" s="85" t="s">
        <v>64</v>
      </c>
      <c r="B18" s="29">
        <v>3146067</v>
      </c>
      <c r="C18" s="29">
        <f>2089134.4+1465368.1+204.5+8421.1+66510.7</f>
        <v>3629638.8000000003</v>
      </c>
      <c r="D18" s="86">
        <v>5450415.3899999997</v>
      </c>
      <c r="E18" s="86">
        <f>2304385.663+3469662.424+243.17+12692.66</f>
        <v>5786983.9170000004</v>
      </c>
      <c r="F18" s="86">
        <v>3755866.42</v>
      </c>
      <c r="G18" s="88"/>
      <c r="H18" s="86"/>
      <c r="I18" s="86"/>
      <c r="J18" s="86"/>
      <c r="K18" s="86"/>
      <c r="L18" s="29"/>
      <c r="M18" s="29"/>
      <c r="N18" s="29"/>
      <c r="O18" s="29"/>
      <c r="P18" s="29"/>
      <c r="Q18" s="186"/>
      <c r="R18" s="202"/>
      <c r="S18" s="28" t="s">
        <v>65</v>
      </c>
      <c r="T18" s="29">
        <f>328743.3+468342.3+525559.62</f>
        <v>1322645.22</v>
      </c>
      <c r="U18" s="32">
        <f>409062.64932+1379329.84</f>
        <v>1788392.4893200002</v>
      </c>
      <c r="V18" s="29">
        <f>969134.63+1722422.35</f>
        <v>2691556.98</v>
      </c>
      <c r="W18" s="29">
        <f t="shared" si="12"/>
        <v>3104123.8659999999</v>
      </c>
      <c r="X18" s="29">
        <f t="shared" si="13"/>
        <v>4415393.5699999994</v>
      </c>
      <c r="Y18" s="35">
        <v>5205313.5060000001</v>
      </c>
      <c r="Z18" s="29">
        <v>2401018.5430000001</v>
      </c>
      <c r="AA18" s="29">
        <f>2155269.02112+790525.97071+52402.56271+96200.44442+371520.23514</f>
        <v>3465918.2341000005</v>
      </c>
      <c r="AB18" s="29">
        <f t="shared" si="14"/>
        <v>2712247.24</v>
      </c>
      <c r="AC18" s="68">
        <f>304524.85+206246.8+3000+110000+10000+126377.242</f>
        <v>760148.89199999988</v>
      </c>
      <c r="AD18" s="29">
        <f t="shared" si="15"/>
        <v>3023798.4410000001</v>
      </c>
      <c r="AE18" s="38"/>
      <c r="AF18" s="69">
        <f>2952913.933+3200+(20593.326+35.429)</f>
        <v>2976742.6880000001</v>
      </c>
      <c r="AG18" s="69">
        <v>115485.905</v>
      </c>
      <c r="AH18" s="69">
        <f>120.836+8915.484+822.548+885.008+500+26.662+475.828+148.907</f>
        <v>11895.272999999999</v>
      </c>
      <c r="AI18" s="70">
        <v>13523.55</v>
      </c>
      <c r="AJ18" s="70">
        <v>5003</v>
      </c>
      <c r="AK18" s="70">
        <v>2711454.6</v>
      </c>
      <c r="AL18" s="71">
        <f>1492999.74+28196.7+30643.9+71.91+0.05</f>
        <v>1551912.2999999998</v>
      </c>
      <c r="AM18" s="72">
        <v>1492999.74</v>
      </c>
      <c r="AN18" s="72">
        <v>28196.7</v>
      </c>
      <c r="AO18" s="72">
        <v>30643.95</v>
      </c>
      <c r="AP18" s="72"/>
      <c r="AQ18" s="72"/>
      <c r="AR18" s="72">
        <v>71.91</v>
      </c>
      <c r="AS18" s="72">
        <f t="shared" si="16"/>
        <v>-1.7840307009464595E-10</v>
      </c>
      <c r="AT18" s="70">
        <v>133500.12</v>
      </c>
      <c r="AY18" s="73">
        <v>1511559.1340000001</v>
      </c>
      <c r="AZ18" s="84"/>
      <c r="BA18" s="73">
        <v>56014.411</v>
      </c>
      <c r="BC18" s="41">
        <v>2732359.6710000001</v>
      </c>
      <c r="BD18" s="41">
        <f>22622.469+1326913.742+140654.631</f>
        <v>1490190.8420000002</v>
      </c>
      <c r="BE18" s="41">
        <f t="shared" si="17"/>
        <v>4222550.5130000003</v>
      </c>
      <c r="BF18" s="33">
        <f t="shared" si="18"/>
        <v>982762.99299999978</v>
      </c>
      <c r="BG18" s="68">
        <f>1360000+328153.04+1007106.5+16987.7</f>
        <v>2712247.24</v>
      </c>
      <c r="BI18" s="74">
        <f>2155269.02112</f>
        <v>2155269.0211200002</v>
      </c>
      <c r="BJ18" s="74">
        <f>790525.97071+52402.56271</f>
        <v>842928.53341999999</v>
      </c>
      <c r="BK18" s="74">
        <v>96200.44442</v>
      </c>
      <c r="BL18" s="74">
        <f>377341.59836-BL17</f>
        <v>371520.23514</v>
      </c>
      <c r="BM18" s="75">
        <f t="shared" si="19"/>
        <v>0</v>
      </c>
      <c r="BN18" s="76">
        <v>2260786.5410000002</v>
      </c>
      <c r="BO18" s="81">
        <v>763011.9</v>
      </c>
      <c r="BP18" s="87"/>
      <c r="BQ18" s="79"/>
      <c r="BR18" s="29">
        <v>1422509.7000299999</v>
      </c>
      <c r="BS18" s="29"/>
      <c r="BT18" s="29">
        <v>2713278.111</v>
      </c>
      <c r="BU18" s="29">
        <v>7375403.3900000006</v>
      </c>
    </row>
    <row r="19" spans="1:73" ht="22.5" x14ac:dyDescent="0.2">
      <c r="A19" s="85" t="s">
        <v>66</v>
      </c>
      <c r="B19" s="29">
        <v>23044.5</v>
      </c>
      <c r="C19" s="29"/>
      <c r="D19" s="86">
        <v>9304.0300000000007</v>
      </c>
      <c r="E19" s="86">
        <f>6976.504+8915.484+106745.398+31603.425</f>
        <v>154240.81099999999</v>
      </c>
      <c r="F19" s="86">
        <v>126504.2</v>
      </c>
      <c r="G19" s="86">
        <f>45256.256+11251.716+62478.176+15030.383</f>
        <v>134016.53099999999</v>
      </c>
      <c r="H19" s="86">
        <v>15806.9</v>
      </c>
      <c r="I19" s="86">
        <v>179703.66364300001</v>
      </c>
      <c r="J19" s="86">
        <v>16987.7</v>
      </c>
      <c r="K19" s="86">
        <v>1691.5</v>
      </c>
      <c r="L19" s="29"/>
      <c r="M19" s="29"/>
      <c r="N19" s="29"/>
      <c r="O19" s="29"/>
      <c r="P19" s="29"/>
      <c r="Q19" s="186"/>
      <c r="R19" s="202"/>
      <c r="S19" s="85" t="s">
        <v>67</v>
      </c>
      <c r="T19" s="29">
        <f>367626.4+586591.86</f>
        <v>954218.26</v>
      </c>
      <c r="U19" s="32">
        <f>858734.728+1436527.6+42438.7</f>
        <v>2337701.0280000004</v>
      </c>
      <c r="V19" s="29">
        <v>5921406.2599999998</v>
      </c>
      <c r="W19" s="29">
        <f t="shared" si="12"/>
        <v>6076842.631000001</v>
      </c>
      <c r="X19" s="29">
        <f t="shared" si="13"/>
        <v>6145581.8399999999</v>
      </c>
      <c r="Y19" s="35">
        <f>4832398.345-1963705.5</f>
        <v>2868692.8449999997</v>
      </c>
      <c r="Z19" s="29">
        <v>4318580.8779999996</v>
      </c>
      <c r="AA19" s="29">
        <f>6070128.77418+1021944.57164+200</f>
        <v>7092273.3458199995</v>
      </c>
      <c r="AB19" s="29">
        <f t="shared" si="14"/>
        <v>6153641.9179999996</v>
      </c>
      <c r="AC19" s="68">
        <f>15000+105000+195000</f>
        <v>315000</v>
      </c>
      <c r="AD19" s="29">
        <f>BN19+BO19</f>
        <v>5379573.6600000001</v>
      </c>
      <c r="AE19" s="38"/>
      <c r="AF19" s="69">
        <f>5763292.496+7675.962+34.974</f>
        <v>5771003.432000001</v>
      </c>
      <c r="AG19" s="90">
        <v>305149.70400000003</v>
      </c>
      <c r="AH19" s="69">
        <v>689.495</v>
      </c>
      <c r="AI19" s="70"/>
      <c r="AJ19" s="70">
        <v>192614.6</v>
      </c>
      <c r="AK19" s="70">
        <f>5171293.23+672200.38</f>
        <v>5843493.6100000003</v>
      </c>
      <c r="AL19" s="71">
        <f>84656.5+0.05</f>
        <v>84656.55</v>
      </c>
      <c r="AM19" s="72"/>
      <c r="AN19" s="72"/>
      <c r="AO19" s="72">
        <v>84656.55</v>
      </c>
      <c r="AP19" s="72"/>
      <c r="AQ19" s="72"/>
      <c r="AR19" s="72"/>
      <c r="AS19" s="72">
        <f t="shared" si="16"/>
        <v>0</v>
      </c>
      <c r="AT19" s="70">
        <v>24817.08</v>
      </c>
      <c r="AY19" s="73">
        <f>30458.147</f>
        <v>30458.147000000001</v>
      </c>
      <c r="AZ19" s="84">
        <v>575.13499999999999</v>
      </c>
      <c r="BA19" s="73">
        <v>11474.4</v>
      </c>
      <c r="BC19" s="41">
        <v>4353465.301</v>
      </c>
      <c r="BD19" s="41"/>
      <c r="BE19" s="41">
        <f t="shared" si="17"/>
        <v>4353465.301</v>
      </c>
      <c r="BF19" s="33">
        <f t="shared" si="18"/>
        <v>-1484772.4560000002</v>
      </c>
      <c r="BG19" s="68">
        <f>3166368.958+2557992.8+129080.16+300200</f>
        <v>6153641.9179999996</v>
      </c>
      <c r="BI19" s="74">
        <f>6070128.77418+1021944.57164</f>
        <v>7092073.3458199995</v>
      </c>
      <c r="BJ19" s="74"/>
      <c r="BK19" s="74">
        <v>200</v>
      </c>
      <c r="BL19" s="74"/>
      <c r="BM19" s="75">
        <f t="shared" si="19"/>
        <v>0</v>
      </c>
      <c r="BN19" s="76">
        <v>5316573.66</v>
      </c>
      <c r="BO19" s="81">
        <v>63000</v>
      </c>
      <c r="BP19" s="78"/>
      <c r="BQ19" s="79"/>
      <c r="BR19" s="29">
        <v>712301.91470999992</v>
      </c>
      <c r="BS19" s="29"/>
      <c r="BT19" s="29">
        <v>2258437.9559999998</v>
      </c>
      <c r="BU19" s="29">
        <v>8373700.6040000003</v>
      </c>
    </row>
    <row r="20" spans="1:73" ht="45" x14ac:dyDescent="0.2">
      <c r="A20" s="28" t="s">
        <v>68</v>
      </c>
      <c r="B20" s="29"/>
      <c r="C20" s="29">
        <v>248063.6</v>
      </c>
      <c r="D20" s="29"/>
      <c r="E20" s="29"/>
      <c r="F20" s="29"/>
      <c r="G20" s="68"/>
      <c r="H20" s="29"/>
      <c r="I20" s="68"/>
      <c r="J20" s="29"/>
      <c r="K20" s="29"/>
      <c r="L20" s="29"/>
      <c r="M20" s="29"/>
      <c r="N20" s="29"/>
      <c r="O20" s="29"/>
      <c r="P20" s="29"/>
      <c r="Q20" s="186"/>
      <c r="R20" s="202"/>
      <c r="S20" s="85" t="s">
        <v>69</v>
      </c>
      <c r="T20" s="29">
        <f>2371.8+58470.1+26408.93+18601.31</f>
        <v>105852.14</v>
      </c>
      <c r="U20" s="29">
        <f>101442.712+588542.2-481.89</f>
        <v>689503.022</v>
      </c>
      <c r="V20" s="29">
        <f>148246.15+119182.71</f>
        <v>267428.86</v>
      </c>
      <c r="W20" s="29">
        <f>AE20+AF20+AG20+AH20+2970.73</f>
        <v>833561.80200000003</v>
      </c>
      <c r="X20" s="29">
        <f>AI20+AJ20+AK20+AL20+AT20-3637.15</f>
        <v>482261.72</v>
      </c>
      <c r="Y20" s="35">
        <v>328737.34999999998</v>
      </c>
      <c r="Z20" s="29">
        <f>177433+9500</f>
        <v>186933</v>
      </c>
      <c r="AA20" s="29">
        <f>(2338052.14701-2338052.14701+54204.40047+345.257+23403.96855)+104929.92956+94782.6187+(2223895.91588-AA9)+9.687</f>
        <v>376571.77716000017</v>
      </c>
      <c r="AB20" s="29">
        <f>BG20</f>
        <v>2241396.4750000001</v>
      </c>
      <c r="AC20" s="29">
        <f>40000+5000+20000+160000+31902.1+762777.903-2793370.9-25000</f>
        <v>-1798690.8969999999</v>
      </c>
      <c r="AD20" s="29">
        <f>BN20+BO20+BP20</f>
        <v>614282.54600000009</v>
      </c>
      <c r="AE20" s="38"/>
      <c r="AF20" s="69">
        <f>1208961.546-334931.375-(89765.402-1735.767)+0.007</f>
        <v>786000.54300000006</v>
      </c>
      <c r="AG20" s="69">
        <f>23315.576-(689.789-589.511)+0.001</f>
        <v>23215.299000000003</v>
      </c>
      <c r="AH20" s="69">
        <f>57.999+1964.681+5000+243.217+4019.909+30358.413+4949.045+789.725+817.991+189.495+9492.042+17158+949.006+0.01-(75989.527-21375.224)</f>
        <v>21375.229999999981</v>
      </c>
      <c r="AI20" s="70"/>
      <c r="AJ20" s="68">
        <v>67215.520000000004</v>
      </c>
      <c r="AK20" s="70">
        <f>327720.29+1076.29</f>
        <v>328796.57999999996</v>
      </c>
      <c r="AL20" s="71">
        <f>37823.58+1010.4+4439.67+15196.37</f>
        <v>58470.020000000004</v>
      </c>
      <c r="AM20" s="72">
        <v>37823.58</v>
      </c>
      <c r="AN20" s="72"/>
      <c r="AO20" s="72"/>
      <c r="AP20" s="72"/>
      <c r="AQ20" s="72">
        <v>15196.37</v>
      </c>
      <c r="AR20" s="72">
        <f>1010.4+4439.67</f>
        <v>5450.07</v>
      </c>
      <c r="AS20" s="72">
        <f t="shared" si="16"/>
        <v>0</v>
      </c>
      <c r="AT20" s="70">
        <f>1823.9+29592.84+0.01</f>
        <v>31416.75</v>
      </c>
      <c r="AY20" s="73">
        <f>24565.463+47570.608-4.74</f>
        <v>72131.330999999991</v>
      </c>
      <c r="AZ20" s="73">
        <f>52432.154-2027.479</f>
        <v>50404.675000000003</v>
      </c>
      <c r="BA20" s="73">
        <v>4455.9840000000004</v>
      </c>
      <c r="BC20" s="41">
        <v>175560.47399999999</v>
      </c>
      <c r="BD20" s="41">
        <f>69.8+13849.614+52304.501+24565.462+93954.015</f>
        <v>184743.39199999999</v>
      </c>
      <c r="BE20" s="41">
        <f t="shared" si="17"/>
        <v>360303.86599999998</v>
      </c>
      <c r="BF20" s="33">
        <f t="shared" si="18"/>
        <v>-31566.516000000003</v>
      </c>
      <c r="BG20" s="29">
        <f>66971.635+41000+25000+38735.19+14096.855+2055592.795</f>
        <v>2241396.4750000001</v>
      </c>
      <c r="BI20" s="91">
        <f>(2338052.14701-BJ21-BK21)+104929.92956+94782.6187+(2223895.91588-BI9)</f>
        <v>298608.46414000029</v>
      </c>
      <c r="BJ20" s="74">
        <f>54204.40047+345.257+377341.59836+281160.91176-BK21+23403.96855</f>
        <v>455295.22437999997</v>
      </c>
      <c r="BK20" s="74">
        <v>9.6869999999999994</v>
      </c>
      <c r="BL20" s="74"/>
      <c r="BM20" s="75">
        <f t="shared" si="19"/>
        <v>377341.59836000018</v>
      </c>
      <c r="BN20" s="76">
        <f>2253358.335+282404.516+14096.855+102.6+41500+32182.2+40542.84-BO10-BP10-BQ10</f>
        <v>435829.01100000006</v>
      </c>
      <c r="BO20" s="81">
        <f>41000</f>
        <v>41000</v>
      </c>
      <c r="BP20" s="87">
        <v>137453.535</v>
      </c>
      <c r="BQ20" s="82"/>
      <c r="BR20" s="29">
        <v>2423209.8850699998</v>
      </c>
      <c r="BS20" s="29"/>
      <c r="BT20" s="29">
        <f>52540+28650</f>
        <v>81190</v>
      </c>
      <c r="BU20" s="29">
        <v>823860.43500000006</v>
      </c>
    </row>
    <row r="21" spans="1:73" ht="22.5" x14ac:dyDescent="0.2">
      <c r="A21" s="28" t="s">
        <v>70</v>
      </c>
      <c r="B21" s="29"/>
      <c r="C21" s="29">
        <v>2813.4</v>
      </c>
      <c r="D21" s="29">
        <v>5810.8</v>
      </c>
      <c r="E21" s="29">
        <v>100212.3</v>
      </c>
      <c r="F21" s="29">
        <v>53808.800000000003</v>
      </c>
      <c r="G21" s="29">
        <v>52714.3</v>
      </c>
      <c r="H21" s="29">
        <v>52543</v>
      </c>
      <c r="I21" s="29">
        <v>52543</v>
      </c>
      <c r="J21" s="29">
        <v>81037.2</v>
      </c>
      <c r="K21" s="29"/>
      <c r="L21" s="29">
        <v>81037.2</v>
      </c>
      <c r="M21" s="29">
        <v>81037.2</v>
      </c>
      <c r="N21" s="29">
        <v>69570.3</v>
      </c>
      <c r="O21" s="29">
        <v>69570.3</v>
      </c>
      <c r="P21" s="29">
        <v>69570.3</v>
      </c>
      <c r="Q21" s="186"/>
      <c r="R21" s="202"/>
      <c r="S21" s="92" t="s">
        <v>71</v>
      </c>
      <c r="T21" s="93">
        <f t="shared" ref="T21:AA21" si="20">T4-T8</f>
        <v>-2612145.2000000002</v>
      </c>
      <c r="U21" s="93">
        <f t="shared" si="20"/>
        <v>-6670255.1065000007</v>
      </c>
      <c r="V21" s="93">
        <f t="shared" si="20"/>
        <v>-12189622.760000002</v>
      </c>
      <c r="W21" s="93">
        <f t="shared" si="20"/>
        <v>-15247727.98</v>
      </c>
      <c r="X21" s="93">
        <f t="shared" si="20"/>
        <v>-15796974.309999999</v>
      </c>
      <c r="Y21" s="93">
        <f t="shared" si="20"/>
        <v>-13540666.388999999</v>
      </c>
      <c r="Z21" s="93">
        <f t="shared" si="20"/>
        <v>-8337385.625</v>
      </c>
      <c r="AA21" s="93">
        <f t="shared" si="20"/>
        <v>-16256032.25446</v>
      </c>
      <c r="AB21" s="93">
        <f>AB4-AB8+360000</f>
        <v>-12078025.763</v>
      </c>
      <c r="AC21" s="93"/>
      <c r="AD21" s="93">
        <f>AD4-AD8</f>
        <v>-10993607.622000001</v>
      </c>
      <c r="AE21" s="1"/>
      <c r="AF21" s="69">
        <v>2000000</v>
      </c>
      <c r="AG21" s="49">
        <v>913.6</v>
      </c>
      <c r="AH21" s="38"/>
      <c r="AI21" s="57">
        <f>592843.9-AJ21</f>
        <v>315530.08</v>
      </c>
      <c r="AJ21" s="57">
        <v>277313.82</v>
      </c>
      <c r="AK21" s="57">
        <f>15159228.03-303566.87</f>
        <v>14855661.16</v>
      </c>
      <c r="AL21" s="58">
        <v>3446357.11</v>
      </c>
      <c r="AM21" s="72"/>
      <c r="AN21" s="72"/>
      <c r="AO21" s="72"/>
      <c r="AP21" s="72"/>
      <c r="AQ21" s="59">
        <v>19023.97</v>
      </c>
      <c r="AR21" s="72"/>
      <c r="AS21" s="72"/>
      <c r="AT21" s="57">
        <v>455098.07</v>
      </c>
      <c r="AY21" s="61">
        <f>3207353.341-52432.154-130584.487</f>
        <v>3024336.6999999997</v>
      </c>
      <c r="AZ21" s="61">
        <v>52432.154000000002</v>
      </c>
      <c r="BA21" s="61">
        <v>130584.48699999999</v>
      </c>
      <c r="BB21" s="62">
        <v>3207353.341</v>
      </c>
      <c r="BC21" s="33"/>
      <c r="BD21" s="33">
        <f>BD11+BD12+BD13+BD14+BD15+BD16+BD17+BD18+BD19+BD20-BD10</f>
        <v>-5.9999995864927769E-3</v>
      </c>
      <c r="BE21" s="33">
        <f>BE11+BE12+BE13+BE14+BE15+BE16+BE17+BE18+BE19+BE20</f>
        <v>14082740.966000002</v>
      </c>
      <c r="BF21" s="33">
        <f>BF11+BF12+BF13+BF14+BF15+BF16+BF17+BF18+BF19+BF20</f>
        <v>-3619.835000000603</v>
      </c>
      <c r="BI21" s="74">
        <f>BI11+BI12+BI13+BI14+BI15+BI16+BI17+BI18+BI19+BI20+BI9</f>
        <v>14570008.438589999</v>
      </c>
      <c r="BJ21" s="74">
        <f>BJ11+BJ12+BJ13+BJ14+BJ15+BJ16+BJ17+BJ18+BJ19+BJ20+BJ9</f>
        <v>2056891.2352499999</v>
      </c>
      <c r="BK21" s="74">
        <f t="shared" ref="BK21:BL21" si="21">BK11+BK12+BK13+BK14+BK15+BK16+BK17+BK18+BK19+BK20+BK9</f>
        <v>281160.91175999999</v>
      </c>
      <c r="BL21" s="74">
        <f t="shared" si="21"/>
        <v>377341.59836</v>
      </c>
      <c r="BM21" s="74"/>
      <c r="BN21" s="76"/>
      <c r="BO21" s="81"/>
      <c r="BP21" s="94"/>
      <c r="BQ21" s="95"/>
      <c r="BR21" s="93">
        <f t="shared" ref="BR21" si="22">BR4-BR8</f>
        <v>-9299756.5203599986</v>
      </c>
      <c r="BS21" s="93">
        <f>BS4-BS8</f>
        <v>-5420000</v>
      </c>
      <c r="BT21" s="93">
        <f>BT4-BT8</f>
        <v>-5974177.6209999993</v>
      </c>
      <c r="BU21" s="93">
        <f>BU4-BU8</f>
        <v>-20735049.912299998</v>
      </c>
    </row>
    <row r="22" spans="1:73" ht="22.5" x14ac:dyDescent="0.2">
      <c r="A22" s="96" t="s">
        <v>72</v>
      </c>
      <c r="B22" s="97">
        <f>B23+B24+B26+B28+B30+B32+B34+B36+B38+B42+B44+B45+B47+B41+B43</f>
        <v>19400192.399999995</v>
      </c>
      <c r="C22" s="97">
        <f>C23+C24+C26+C28+C30+C32+C34+C36+C38+C42+C44+C45+C47+C41+C43</f>
        <v>22655318.600000001</v>
      </c>
      <c r="D22" s="97">
        <f>D23+D24+D26+D28+D30+D32+D34+D36+D38+D42+D44+D45+D47+D41+D43+D49</f>
        <v>31847965.609000001</v>
      </c>
      <c r="E22" s="97">
        <f>E23+E24+E26+E28+E30+E32+E34+E36+E38+E42+E44+E45+E47+E41+E43+E49</f>
        <v>35871108.080999993</v>
      </c>
      <c r="F22" s="97">
        <f t="shared" ref="F22:P22" si="23">F23+F24+F26+F28+F30+F32+F34+F36+F38+F42+F44+F45+F47+F41+F43</f>
        <v>40114582.109999992</v>
      </c>
      <c r="G22" s="97">
        <f t="shared" si="23"/>
        <v>39380465.001000002</v>
      </c>
      <c r="H22" s="97">
        <f t="shared" si="23"/>
        <v>43994554.245999992</v>
      </c>
      <c r="I22" s="97">
        <f t="shared" si="23"/>
        <v>45153677.328210004</v>
      </c>
      <c r="J22" s="97">
        <f t="shared" si="23"/>
        <v>46987879.737999998</v>
      </c>
      <c r="K22" s="97">
        <f t="shared" si="23"/>
        <v>556503.22300000011</v>
      </c>
      <c r="L22" s="97">
        <f t="shared" si="23"/>
        <v>54742742.931999989</v>
      </c>
      <c r="M22" s="97">
        <f t="shared" si="23"/>
        <v>47576941.826190002</v>
      </c>
      <c r="N22" s="97">
        <f t="shared" si="23"/>
        <v>50259625.468999997</v>
      </c>
      <c r="O22" s="97">
        <f t="shared" si="23"/>
        <v>54668816.905999996</v>
      </c>
      <c r="P22" s="97">
        <f t="shared" si="23"/>
        <v>55078530.781999983</v>
      </c>
      <c r="Q22" s="186"/>
      <c r="R22" s="202"/>
      <c r="S22" s="92" t="s">
        <v>73</v>
      </c>
      <c r="T22" s="93">
        <f t="shared" ref="T22:AA22" si="24">T23+T24+T25</f>
        <v>2612145.2000000002</v>
      </c>
      <c r="U22" s="93">
        <f t="shared" si="24"/>
        <v>6670255.1100000003</v>
      </c>
      <c r="V22" s="93">
        <f t="shared" si="24"/>
        <v>12189622.76</v>
      </c>
      <c r="W22" s="93">
        <f t="shared" si="24"/>
        <v>15247727.981000001</v>
      </c>
      <c r="X22" s="93">
        <f t="shared" si="24"/>
        <v>15796974.310000001</v>
      </c>
      <c r="Y22" s="93">
        <f t="shared" si="24"/>
        <v>13540666.388999999</v>
      </c>
      <c r="Z22" s="93">
        <f t="shared" si="24"/>
        <v>8337385.625</v>
      </c>
      <c r="AA22" s="93">
        <f t="shared" si="24"/>
        <v>16256032.254460001</v>
      </c>
      <c r="AB22" s="93">
        <f>AB23+AB24+AB25</f>
        <v>12078025.763</v>
      </c>
      <c r="AC22" s="93"/>
      <c r="AD22" s="93">
        <f t="shared" ref="AD22" si="25">AD23+AD24+AD25</f>
        <v>10993607.622</v>
      </c>
      <c r="AE22" s="1"/>
      <c r="AF22" s="1"/>
      <c r="AG22" s="1"/>
      <c r="AH22" s="1"/>
      <c r="AI22" s="38">
        <f>AI10-AI21</f>
        <v>0</v>
      </c>
      <c r="AJ22" s="38">
        <f t="shared" ref="AJ22:AL22" si="26">AJ10-AJ21</f>
        <v>0</v>
      </c>
      <c r="AK22" s="38">
        <f t="shared" si="26"/>
        <v>-3446357.1099999994</v>
      </c>
      <c r="AL22" s="38">
        <f t="shared" si="26"/>
        <v>0</v>
      </c>
      <c r="AM22" s="60"/>
      <c r="AN22" s="60"/>
      <c r="AO22" s="60"/>
      <c r="AP22" s="60"/>
      <c r="AQ22" s="59">
        <f>AQ21-AQ10</f>
        <v>0</v>
      </c>
      <c r="AR22" s="60"/>
      <c r="AS22" s="60"/>
      <c r="AT22" s="38"/>
      <c r="AY22" s="73">
        <f>AY10-AY21</f>
        <v>-3.0000000260770321E-3</v>
      </c>
      <c r="AZ22" s="73">
        <f t="shared" ref="AZ22:BA22" si="27">AZ10-AZ21</f>
        <v>0</v>
      </c>
      <c r="BA22" s="73">
        <f t="shared" si="27"/>
        <v>9.9999998928979039E-4</v>
      </c>
      <c r="BB22" s="52">
        <f>BB10-BB21</f>
        <v>-2.0000003278255463E-3</v>
      </c>
      <c r="BC22" s="61"/>
      <c r="BD22" s="61"/>
      <c r="BE22" s="61"/>
      <c r="BJ22" s="98">
        <f>2338052.14701</f>
        <v>2338052.14701</v>
      </c>
      <c r="BN22" s="99">
        <f>12707976.852-2262858.335</f>
        <v>10445118.517000001</v>
      </c>
      <c r="BO22" s="99">
        <v>2262858.335</v>
      </c>
      <c r="BP22" s="99"/>
      <c r="BQ22" s="100">
        <v>0</v>
      </c>
      <c r="BR22" s="93">
        <f>BR23+BR24+BR25+BR26</f>
        <v>9299756.5203600023</v>
      </c>
      <c r="BS22" s="93"/>
      <c r="BT22" s="93">
        <f t="shared" ref="BT22:BU22" si="28">BT23+BT24+BT25</f>
        <v>5974177.6209999993</v>
      </c>
      <c r="BU22" s="93">
        <f t="shared" si="28"/>
        <v>20735049.912</v>
      </c>
    </row>
    <row r="23" spans="1:73" ht="22.5" x14ac:dyDescent="0.2">
      <c r="A23" s="28" t="s">
        <v>74</v>
      </c>
      <c r="B23" s="29">
        <v>649183</v>
      </c>
      <c r="C23" s="29">
        <v>939386.4</v>
      </c>
      <c r="D23" s="29">
        <v>1220474.102</v>
      </c>
      <c r="E23" s="29">
        <f>1560969.293-145415.472</f>
        <v>1415553.821</v>
      </c>
      <c r="F23" s="29">
        <f>2081826.88-193970.47</f>
        <v>1887856.41</v>
      </c>
      <c r="G23" s="29">
        <f>2352380.805-216926.179</f>
        <v>2135454.6260000002</v>
      </c>
      <c r="H23" s="29">
        <v>2260413.4369999999</v>
      </c>
      <c r="I23" s="29">
        <f>2553672.74197-260083.36018</f>
        <v>2293589.38179</v>
      </c>
      <c r="J23" s="29">
        <v>2650380.65</v>
      </c>
      <c r="K23" s="68">
        <f>26961.3</f>
        <v>26961.3</v>
      </c>
      <c r="L23" s="29">
        <v>2387880.7659999998</v>
      </c>
      <c r="M23" s="29">
        <v>2186412.9719699998</v>
      </c>
      <c r="N23" s="29">
        <f>2703813.097-345971.988</f>
        <v>2357841.1090000002</v>
      </c>
      <c r="O23" s="29">
        <v>2394476.9950000001</v>
      </c>
      <c r="P23" s="29">
        <v>2427806.503</v>
      </c>
      <c r="Q23" s="186"/>
      <c r="R23" s="202"/>
      <c r="S23" s="28" t="s">
        <v>75</v>
      </c>
      <c r="T23" s="32">
        <v>51610</v>
      </c>
      <c r="U23" s="32">
        <v>-83759.679999999993</v>
      </c>
      <c r="V23" s="32">
        <v>-209538.27</v>
      </c>
      <c r="W23" s="32">
        <f>149886.341</f>
        <v>149886.34099999999</v>
      </c>
      <c r="X23" s="32">
        <v>103381.66</v>
      </c>
      <c r="Y23" s="32">
        <v>-55236.38</v>
      </c>
      <c r="Z23" s="32">
        <v>0</v>
      </c>
      <c r="AA23" s="32">
        <f>88175.21071-257756.33229</f>
        <v>-169581.12157999998</v>
      </c>
      <c r="AB23" s="32"/>
      <c r="AC23" s="32"/>
      <c r="AD23" s="32">
        <v>170156.33199999999</v>
      </c>
      <c r="AE23" s="101" t="s">
        <v>76</v>
      </c>
      <c r="AF23" s="1"/>
      <c r="AG23" s="1"/>
      <c r="AH23" s="1"/>
      <c r="AI23" s="1"/>
      <c r="BC23" s="61"/>
      <c r="BD23" s="61"/>
      <c r="BE23" s="61"/>
      <c r="BJ23" s="102">
        <f>BJ22-BJ21</f>
        <v>281160.91176000005</v>
      </c>
      <c r="BN23" s="103">
        <f t="shared" ref="BN23:BQ23" si="29">BN22-BN10</f>
        <v>492635.23000000045</v>
      </c>
      <c r="BO23" s="103">
        <f t="shared" si="29"/>
        <v>171953.53500000015</v>
      </c>
      <c r="BP23" s="103">
        <f t="shared" si="29"/>
        <v>-137453.535</v>
      </c>
      <c r="BQ23" s="104">
        <f t="shared" si="29"/>
        <v>0</v>
      </c>
      <c r="BR23" s="32">
        <v>-1043895.245</v>
      </c>
      <c r="BS23" s="32">
        <v>0</v>
      </c>
      <c r="BT23" s="32"/>
      <c r="BU23" s="32">
        <v>1301651.5759999999</v>
      </c>
    </row>
    <row r="24" spans="1:73" ht="44.45" customHeight="1" x14ac:dyDescent="0.25">
      <c r="A24" s="28" t="s">
        <v>77</v>
      </c>
      <c r="B24" s="29">
        <v>5592842.5</v>
      </c>
      <c r="C24" s="29">
        <v>6589815.0999999996</v>
      </c>
      <c r="D24" s="29">
        <v>9637512.2559999991</v>
      </c>
      <c r="E24" s="29">
        <v>12307155.793</v>
      </c>
      <c r="F24" s="29">
        <v>15047453.93</v>
      </c>
      <c r="G24" s="29">
        <v>16774938.414000001</v>
      </c>
      <c r="H24" s="29">
        <v>21906469.274999999</v>
      </c>
      <c r="I24" s="29">
        <f>21969163.70313</f>
        <v>21969163.703129999</v>
      </c>
      <c r="J24" s="29">
        <v>23613260.442000002</v>
      </c>
      <c r="K24" s="29">
        <f>150+655498.1+133649.3-128900+94323.9+25858.6</f>
        <v>780579.89999999991</v>
      </c>
      <c r="L24" s="29">
        <v>23580373.066</v>
      </c>
      <c r="M24" s="29">
        <v>19662785.298950002</v>
      </c>
      <c r="N24" s="29">
        <v>17239053.065000001</v>
      </c>
      <c r="O24" s="29">
        <v>22292752.864999998</v>
      </c>
      <c r="P24" s="29">
        <v>22622088.238000002</v>
      </c>
      <c r="Q24" s="186"/>
      <c r="R24" s="202"/>
      <c r="S24" s="105" t="s">
        <v>78</v>
      </c>
      <c r="T24" s="32">
        <f t="shared" ref="T24:AB24" si="30">-(B55)</f>
        <v>4861872.2</v>
      </c>
      <c r="U24" s="32">
        <f t="shared" si="30"/>
        <v>7702677.79</v>
      </c>
      <c r="V24" s="32">
        <f t="shared" si="30"/>
        <v>12399161.029999999</v>
      </c>
      <c r="W24" s="32">
        <f t="shared" si="30"/>
        <v>15097841.640000001</v>
      </c>
      <c r="X24" s="32">
        <f t="shared" si="30"/>
        <v>15693592.65</v>
      </c>
      <c r="Y24" s="32">
        <f t="shared" si="30"/>
        <v>12825902.768999999</v>
      </c>
      <c r="Z24" s="32">
        <f t="shared" si="30"/>
        <v>11011827.225</v>
      </c>
      <c r="AA24" s="32">
        <f t="shared" si="30"/>
        <v>16419182.10427</v>
      </c>
      <c r="AB24" s="32">
        <f t="shared" si="30"/>
        <v>14739568.047</v>
      </c>
      <c r="AC24" s="32"/>
      <c r="AD24" s="32">
        <f>-L55</f>
        <v>12806631.973999999</v>
      </c>
      <c r="AE24" s="1"/>
      <c r="AF24" s="1"/>
      <c r="AG24" s="1"/>
      <c r="AH24" s="1"/>
      <c r="AI24" s="1"/>
      <c r="BN24" s="103"/>
      <c r="BO24" s="103"/>
      <c r="BP24" s="106"/>
      <c r="BQ24" s="107"/>
      <c r="BR24" s="32">
        <v>12086124.83172</v>
      </c>
      <c r="BS24" s="32">
        <f>-N55</f>
        <v>5677500</v>
      </c>
      <c r="BT24" s="32">
        <f>-O55</f>
        <v>6608349.6289999997</v>
      </c>
      <c r="BU24" s="32">
        <f>-P55</f>
        <v>16492966.978</v>
      </c>
    </row>
    <row r="25" spans="1:73" ht="22.9" customHeight="1" x14ac:dyDescent="0.25">
      <c r="A25" s="34" t="s">
        <v>79</v>
      </c>
      <c r="B25" s="108">
        <f>B14+B15</f>
        <v>2406954.1999999997</v>
      </c>
      <c r="C25" s="108">
        <f t="shared" ref="C25:L25" si="31">C14</f>
        <v>2254691.1999999997</v>
      </c>
      <c r="D25" s="108">
        <f t="shared" si="31"/>
        <v>3184704.2</v>
      </c>
      <c r="E25" s="108">
        <f t="shared" si="31"/>
        <v>2838033.7</v>
      </c>
      <c r="F25" s="108">
        <f t="shared" si="31"/>
        <v>3529613.6</v>
      </c>
      <c r="G25" s="108">
        <f t="shared" si="31"/>
        <v>4202013.8</v>
      </c>
      <c r="H25" s="108">
        <f t="shared" si="31"/>
        <v>5407135.9000000004</v>
      </c>
      <c r="I25" s="108">
        <f t="shared" si="31"/>
        <v>5407135.9000000004</v>
      </c>
      <c r="J25" s="108">
        <f t="shared" si="31"/>
        <v>5901182.5</v>
      </c>
      <c r="K25" s="108">
        <f t="shared" si="31"/>
        <v>94323.9</v>
      </c>
      <c r="L25" s="29">
        <f t="shared" si="31"/>
        <v>5576332.5999999996</v>
      </c>
      <c r="M25" s="29">
        <v>5588883.0999999996</v>
      </c>
      <c r="N25" s="29"/>
      <c r="O25" s="29">
        <f>O14</f>
        <v>5018699.8</v>
      </c>
      <c r="P25" s="29">
        <f>P14</f>
        <v>5207934.9000000004</v>
      </c>
      <c r="Q25" s="186"/>
      <c r="R25" s="202"/>
      <c r="S25" s="105" t="s">
        <v>80</v>
      </c>
      <c r="T25" s="32">
        <v>-2301337</v>
      </c>
      <c r="U25" s="32">
        <v>-948663</v>
      </c>
      <c r="V25" s="32"/>
      <c r="W25" s="32"/>
      <c r="X25" s="32"/>
      <c r="Y25" s="32">
        <v>770000</v>
      </c>
      <c r="Z25" s="32">
        <f>-770000-1904441.6</f>
        <v>-2674441.6</v>
      </c>
      <c r="AA25" s="32">
        <v>6431.2717700000003</v>
      </c>
      <c r="AB25" s="32">
        <v>-2661542.284</v>
      </c>
      <c r="AC25" s="32">
        <v>678361.59600000002</v>
      </c>
      <c r="AD25" s="32">
        <v>-1983180.6839999999</v>
      </c>
      <c r="AE25" s="1"/>
      <c r="AF25" s="1"/>
      <c r="AG25" s="1"/>
      <c r="AH25" s="1"/>
      <c r="AI25" s="1"/>
      <c r="BN25" s="103"/>
      <c r="BO25" s="109"/>
      <c r="BP25" s="110"/>
      <c r="BQ25" s="111"/>
      <c r="BR25" s="32">
        <v>-1902025.088</v>
      </c>
      <c r="BS25" s="32">
        <v>-257500</v>
      </c>
      <c r="BT25" s="32">
        <v>-634172.00800000003</v>
      </c>
      <c r="BU25" s="32">
        <v>2940431.358</v>
      </c>
    </row>
    <row r="26" spans="1:73" ht="24" customHeight="1" x14ac:dyDescent="0.25">
      <c r="A26" s="28" t="s">
        <v>81</v>
      </c>
      <c r="B26" s="32">
        <v>4047471.4</v>
      </c>
      <c r="C26" s="32">
        <v>5396432</v>
      </c>
      <c r="D26" s="32">
        <v>7108612.9819999998</v>
      </c>
      <c r="E26" s="32">
        <v>7452894.4330000002</v>
      </c>
      <c r="F26" s="32">
        <v>8249256.7699999996</v>
      </c>
      <c r="G26" s="32">
        <v>5863504.2690000003</v>
      </c>
      <c r="H26" s="32">
        <v>5201751.1459999997</v>
      </c>
      <c r="I26" s="32">
        <v>4830653.97523</v>
      </c>
      <c r="J26" s="32">
        <v>5113633.6129999999</v>
      </c>
      <c r="K26" s="32">
        <f>171551.1</f>
        <v>171551.1</v>
      </c>
      <c r="L26" s="29">
        <v>5332774.2130000005</v>
      </c>
      <c r="M26" s="29">
        <v>3916487.3795400001</v>
      </c>
      <c r="N26" s="29">
        <v>5237530.8130000001</v>
      </c>
      <c r="O26" s="29">
        <v>5237530.8130000001</v>
      </c>
      <c r="P26" s="29">
        <v>5269183.7130000005</v>
      </c>
      <c r="Q26" s="186"/>
      <c r="R26" s="203"/>
      <c r="S26" s="105" t="s">
        <v>142</v>
      </c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1"/>
      <c r="AF26" s="1"/>
      <c r="AG26" s="1"/>
      <c r="AH26" s="1"/>
      <c r="AI26" s="1"/>
      <c r="BN26" s="103"/>
      <c r="BO26" s="109"/>
      <c r="BP26" s="110"/>
      <c r="BQ26" s="111"/>
      <c r="BR26" s="32">
        <v>159552.02163999999</v>
      </c>
      <c r="BS26" s="32"/>
      <c r="BT26" s="32"/>
      <c r="BU26" s="32"/>
    </row>
    <row r="27" spans="1:73" ht="24" customHeight="1" x14ac:dyDescent="0.2">
      <c r="A27" s="34" t="s">
        <v>79</v>
      </c>
      <c r="B27" s="108">
        <f t="shared" ref="B27:H27" si="32">B16</f>
        <v>3192620.8</v>
      </c>
      <c r="C27" s="108">
        <f t="shared" si="32"/>
        <v>3205419</v>
      </c>
      <c r="D27" s="108">
        <f t="shared" si="32"/>
        <v>4121560.5</v>
      </c>
      <c r="E27" s="108">
        <f t="shared" si="32"/>
        <v>4334525.7</v>
      </c>
      <c r="F27" s="108">
        <f t="shared" si="32"/>
        <v>4269656.9000000004</v>
      </c>
      <c r="G27" s="108">
        <f t="shared" si="32"/>
        <v>1126026.098</v>
      </c>
      <c r="H27" s="108">
        <f t="shared" si="32"/>
        <v>0</v>
      </c>
      <c r="I27" s="108">
        <v>0</v>
      </c>
      <c r="J27" s="108">
        <f>J16</f>
        <v>0</v>
      </c>
      <c r="K27" s="108"/>
      <c r="L27" s="29">
        <f t="shared" ref="L27:L43" si="33">J27+K27</f>
        <v>0</v>
      </c>
      <c r="M27" s="29">
        <v>0</v>
      </c>
      <c r="N27" s="29"/>
      <c r="O27" s="29"/>
      <c r="P27" s="29"/>
      <c r="Q27" s="186"/>
      <c r="R27" s="198" t="s">
        <v>82</v>
      </c>
      <c r="S27" s="112" t="s">
        <v>83</v>
      </c>
      <c r="T27" s="25">
        <f>SUM(T28:T30)+0.6</f>
        <v>253693.79598000002</v>
      </c>
      <c r="U27" s="25">
        <f>SUM(U28:U30)+0.564</f>
        <v>284786.01199999999</v>
      </c>
      <c r="V27" s="25">
        <f>SUM(V28:V30)+0.296</f>
        <v>277258.77600000001</v>
      </c>
      <c r="W27" s="25">
        <f>SUM(W28:W30)</f>
        <v>272352.78899999999</v>
      </c>
      <c r="X27" s="25">
        <f>SUM(X28:X31)+0.48</f>
        <v>301188</v>
      </c>
      <c r="Y27" s="25">
        <f>SUM(Y28:Y31)</f>
        <v>247141.05200000003</v>
      </c>
      <c r="Z27" s="25">
        <f>SUM(Z28:Z31)</f>
        <v>456000</v>
      </c>
      <c r="AA27" s="25">
        <f>SUM(AA28:AA32)</f>
        <v>213396.10404000001</v>
      </c>
      <c r="AB27" s="25">
        <f t="shared" ref="AB27:BQ27" si="34">SUM(AB28:AB31)</f>
        <v>617000</v>
      </c>
      <c r="AC27" s="25">
        <f t="shared" si="34"/>
        <v>0</v>
      </c>
      <c r="AD27" s="25">
        <f t="shared" si="34"/>
        <v>577180.66</v>
      </c>
      <c r="AE27" s="25">
        <f t="shared" si="34"/>
        <v>304053.19300000003</v>
      </c>
      <c r="AF27" s="25">
        <f t="shared" si="34"/>
        <v>0</v>
      </c>
      <c r="AG27" s="25">
        <f t="shared" si="34"/>
        <v>0</v>
      </c>
      <c r="AH27" s="25">
        <f t="shared" si="34"/>
        <v>0</v>
      </c>
      <c r="AI27" s="25">
        <f t="shared" si="34"/>
        <v>319045.3</v>
      </c>
      <c r="AJ27" s="25">
        <f t="shared" si="34"/>
        <v>0</v>
      </c>
      <c r="AK27" s="25">
        <f t="shared" si="34"/>
        <v>0</v>
      </c>
      <c r="AL27" s="25">
        <f t="shared" si="34"/>
        <v>0</v>
      </c>
      <c r="AM27" s="25">
        <f t="shared" si="34"/>
        <v>0</v>
      </c>
      <c r="AN27" s="25">
        <f t="shared" si="34"/>
        <v>0</v>
      </c>
      <c r="AO27" s="25">
        <f t="shared" si="34"/>
        <v>0</v>
      </c>
      <c r="AP27" s="25">
        <f t="shared" si="34"/>
        <v>0</v>
      </c>
      <c r="AQ27" s="25">
        <f t="shared" si="34"/>
        <v>0</v>
      </c>
      <c r="AR27" s="25">
        <f t="shared" si="34"/>
        <v>0</v>
      </c>
      <c r="AS27" s="25">
        <f t="shared" si="34"/>
        <v>0</v>
      </c>
      <c r="AT27" s="25">
        <f t="shared" si="34"/>
        <v>0</v>
      </c>
      <c r="AU27" s="25">
        <f t="shared" si="34"/>
        <v>0</v>
      </c>
      <c r="AV27" s="25">
        <f t="shared" si="34"/>
        <v>0</v>
      </c>
      <c r="AW27" s="25">
        <f t="shared" si="34"/>
        <v>0</v>
      </c>
      <c r="AX27" s="25">
        <f t="shared" si="34"/>
        <v>0</v>
      </c>
      <c r="AY27" s="25">
        <f t="shared" si="34"/>
        <v>0</v>
      </c>
      <c r="AZ27" s="25">
        <f t="shared" si="34"/>
        <v>0</v>
      </c>
      <c r="BA27" s="25">
        <f t="shared" si="34"/>
        <v>0</v>
      </c>
      <c r="BB27" s="25">
        <f t="shared" si="34"/>
        <v>0</v>
      </c>
      <c r="BC27" s="25">
        <f t="shared" si="34"/>
        <v>0</v>
      </c>
      <c r="BD27" s="25">
        <f t="shared" si="34"/>
        <v>0</v>
      </c>
      <c r="BE27" s="25">
        <f t="shared" si="34"/>
        <v>0</v>
      </c>
      <c r="BF27" s="25">
        <f t="shared" si="34"/>
        <v>0</v>
      </c>
      <c r="BG27" s="25">
        <f t="shared" si="34"/>
        <v>0</v>
      </c>
      <c r="BH27" s="25">
        <f t="shared" si="34"/>
        <v>0</v>
      </c>
      <c r="BI27" s="25">
        <f t="shared" si="34"/>
        <v>0</v>
      </c>
      <c r="BJ27" s="25">
        <f t="shared" si="34"/>
        <v>0</v>
      </c>
      <c r="BK27" s="25">
        <f t="shared" si="34"/>
        <v>0</v>
      </c>
      <c r="BL27" s="25">
        <f t="shared" si="34"/>
        <v>0</v>
      </c>
      <c r="BM27" s="25">
        <f t="shared" si="34"/>
        <v>0</v>
      </c>
      <c r="BN27" s="25">
        <f t="shared" si="34"/>
        <v>0</v>
      </c>
      <c r="BO27" s="25">
        <f t="shared" si="34"/>
        <v>0</v>
      </c>
      <c r="BP27" s="25">
        <f t="shared" si="34"/>
        <v>0</v>
      </c>
      <c r="BQ27" s="25">
        <f t="shared" si="34"/>
        <v>0</v>
      </c>
      <c r="BR27" s="25">
        <f>SUM(BR28:BR32)+0.82529</f>
        <v>53291.580579999994</v>
      </c>
      <c r="BS27" s="25">
        <f>SUM(BS28:BS31)</f>
        <v>250</v>
      </c>
      <c r="BT27" s="25">
        <f t="shared" ref="BT27" si="35">SUM(BT28:BT31)</f>
        <v>200250</v>
      </c>
      <c r="BU27" s="25">
        <f>SUM(BU28:BU32)</f>
        <v>201250</v>
      </c>
    </row>
    <row r="28" spans="1:73" ht="22.5" x14ac:dyDescent="0.25">
      <c r="A28" s="28" t="s">
        <v>85</v>
      </c>
      <c r="B28" s="32">
        <v>3801702.9</v>
      </c>
      <c r="C28" s="32">
        <v>4529069.8</v>
      </c>
      <c r="D28" s="32">
        <v>7576158.1050000004</v>
      </c>
      <c r="E28" s="32">
        <v>8401000.9820000008</v>
      </c>
      <c r="F28" s="32">
        <v>7720700.7400000002</v>
      </c>
      <c r="G28" s="32">
        <v>3636430.3470000001</v>
      </c>
      <c r="H28" s="32">
        <v>4768881.8360000001</v>
      </c>
      <c r="I28" s="32">
        <v>4298023.7355199996</v>
      </c>
      <c r="J28" s="32">
        <v>5068813.665</v>
      </c>
      <c r="K28" s="32">
        <f>5000+981.3+3942.9+3700+20050</f>
        <v>33674.199999999997</v>
      </c>
      <c r="L28" s="29">
        <v>5083272.3830000004</v>
      </c>
      <c r="M28" s="29">
        <v>3253266.3124799998</v>
      </c>
      <c r="N28" s="29">
        <f>5907748.546</f>
        <v>5907748.5460000001</v>
      </c>
      <c r="O28" s="29">
        <v>5911794.2460000003</v>
      </c>
      <c r="P28" s="29">
        <v>6458619.5810000002</v>
      </c>
      <c r="Q28" s="186"/>
      <c r="R28" s="199"/>
      <c r="S28" s="113" t="s">
        <v>84</v>
      </c>
      <c r="T28" s="29">
        <v>32411.1</v>
      </c>
      <c r="U28" s="29">
        <f>870.153</f>
        <v>870.15300000000002</v>
      </c>
      <c r="V28" s="29">
        <v>8944.42</v>
      </c>
      <c r="W28" s="29">
        <f>24624.283</f>
        <v>24624.282999999999</v>
      </c>
      <c r="X28" s="29">
        <v>5335.62</v>
      </c>
      <c r="Y28" s="29">
        <v>3067.529</v>
      </c>
      <c r="Z28" s="29">
        <v>6000</v>
      </c>
      <c r="AA28" s="29">
        <f>11794.04773</f>
        <v>11794.04773</v>
      </c>
      <c r="AB28" s="29">
        <v>7000</v>
      </c>
      <c r="AC28" s="29"/>
      <c r="AD28" s="29">
        <v>7000</v>
      </c>
      <c r="AE28" s="38">
        <f>W28+W29+W30+W41+0.025</f>
        <v>304053.19300000003</v>
      </c>
      <c r="AF28" s="1"/>
      <c r="AG28" s="1"/>
      <c r="AH28" s="1"/>
      <c r="AI28" s="38">
        <f>X28+X29+X30+X31+X41+0.48</f>
        <v>319045.3</v>
      </c>
      <c r="BR28" s="29">
        <v>10549.689179999999</v>
      </c>
      <c r="BS28" s="29"/>
      <c r="BT28" s="29"/>
      <c r="BU28" s="29"/>
    </row>
    <row r="29" spans="1:73" ht="22.5" x14ac:dyDescent="0.25">
      <c r="A29" s="34" t="s">
        <v>79</v>
      </c>
      <c r="B29" s="108">
        <f>B18</f>
        <v>3146067</v>
      </c>
      <c r="C29" s="108">
        <f>C18</f>
        <v>3629638.8000000003</v>
      </c>
      <c r="D29" s="108">
        <f>D18</f>
        <v>5450415.3899999997</v>
      </c>
      <c r="E29" s="108">
        <f>E18</f>
        <v>5786983.9170000004</v>
      </c>
      <c r="F29" s="108">
        <f>F18</f>
        <v>3755866.42</v>
      </c>
      <c r="G29" s="108">
        <v>0</v>
      </c>
      <c r="H29" s="108">
        <f>H18</f>
        <v>0</v>
      </c>
      <c r="I29" s="108">
        <v>0</v>
      </c>
      <c r="J29" s="108">
        <f>J18</f>
        <v>0</v>
      </c>
      <c r="K29" s="108"/>
      <c r="L29" s="29">
        <f t="shared" si="33"/>
        <v>0</v>
      </c>
      <c r="M29" s="29">
        <v>0</v>
      </c>
      <c r="N29" s="29"/>
      <c r="O29" s="29"/>
      <c r="P29" s="29"/>
      <c r="Q29" s="186"/>
      <c r="R29" s="199"/>
      <c r="S29" s="114" t="s">
        <v>86</v>
      </c>
      <c r="T29" s="29">
        <v>152034.79999999999</v>
      </c>
      <c r="U29" s="32">
        <v>196773.81099999999</v>
      </c>
      <c r="V29" s="32">
        <v>185774.01</v>
      </c>
      <c r="W29" s="32">
        <f>0.692+181874.022</f>
        <v>181874.71400000001</v>
      </c>
      <c r="X29" s="32">
        <v>208711.94</v>
      </c>
      <c r="Y29" s="32">
        <f>144407.571+0.151</f>
        <v>144407.72200000001</v>
      </c>
      <c r="Z29" s="32">
        <v>250000</v>
      </c>
      <c r="AA29" s="32">
        <f>0.49957+122459.41438</f>
        <v>122459.91395</v>
      </c>
      <c r="AB29" s="32">
        <v>270000</v>
      </c>
      <c r="AC29" s="32"/>
      <c r="AD29" s="32">
        <v>268893.15299999999</v>
      </c>
      <c r="AE29" s="1"/>
      <c r="AF29" s="1"/>
      <c r="AG29" s="1"/>
      <c r="AH29" s="1"/>
      <c r="AI29" s="1"/>
      <c r="BR29" s="32">
        <v>28859.130359999999</v>
      </c>
      <c r="BS29" s="32"/>
      <c r="BT29" s="32"/>
      <c r="BU29" s="32"/>
    </row>
    <row r="30" spans="1:73" ht="45" x14ac:dyDescent="0.25">
      <c r="A30" s="28" t="s">
        <v>88</v>
      </c>
      <c r="B30" s="29">
        <v>675534.6</v>
      </c>
      <c r="C30" s="29">
        <v>807662.7</v>
      </c>
      <c r="D30" s="29">
        <v>1192727.5519999999</v>
      </c>
      <c r="E30" s="29">
        <v>830238.22400000005</v>
      </c>
      <c r="F30" s="29">
        <v>977951.25</v>
      </c>
      <c r="G30" s="29">
        <v>1007102.226</v>
      </c>
      <c r="H30" s="29">
        <v>1301588.3559999999</v>
      </c>
      <c r="I30" s="29">
        <v>1299999.60204</v>
      </c>
      <c r="J30" s="29">
        <v>1384330.41</v>
      </c>
      <c r="K30" s="29">
        <f>15250.8</f>
        <v>15250.8</v>
      </c>
      <c r="L30" s="29">
        <v>1401340.6610000001</v>
      </c>
      <c r="M30" s="29">
        <v>1111574.5855700001</v>
      </c>
      <c r="N30" s="29">
        <v>1398665.6610000001</v>
      </c>
      <c r="O30" s="29">
        <v>1398665.6610000001</v>
      </c>
      <c r="P30" s="29">
        <v>1407366.0759999999</v>
      </c>
      <c r="Q30" s="186"/>
      <c r="R30" s="199"/>
      <c r="S30" s="113" t="s">
        <v>87</v>
      </c>
      <c r="T30" s="29">
        <v>69247.29598000001</v>
      </c>
      <c r="U30" s="29">
        <v>87141.483999999997</v>
      </c>
      <c r="V30" s="29">
        <v>82540.05</v>
      </c>
      <c r="W30" s="29">
        <v>65853.792000000001</v>
      </c>
      <c r="X30" s="29">
        <v>82399.960000000006</v>
      </c>
      <c r="Y30" s="29">
        <v>54765.800999999999</v>
      </c>
      <c r="Z30" s="29">
        <v>100000</v>
      </c>
      <c r="AA30" s="29">
        <v>52876.077129999998</v>
      </c>
      <c r="AB30" s="29">
        <v>100000</v>
      </c>
      <c r="AC30" s="29"/>
      <c r="AD30" s="29">
        <v>89694.516000000003</v>
      </c>
      <c r="AE30" s="1"/>
      <c r="AF30" s="1"/>
      <c r="AG30" s="1"/>
      <c r="AH30" s="1"/>
      <c r="AI30" s="1"/>
      <c r="BR30" s="29">
        <v>8094.22343</v>
      </c>
      <c r="BS30" s="29">
        <v>250</v>
      </c>
      <c r="BT30" s="29">
        <v>250</v>
      </c>
      <c r="BU30" s="29">
        <v>250</v>
      </c>
    </row>
    <row r="31" spans="1:73" ht="45" x14ac:dyDescent="0.25">
      <c r="A31" s="28"/>
      <c r="B31" s="29"/>
      <c r="C31" s="29"/>
      <c r="D31" s="29"/>
      <c r="E31" s="29"/>
      <c r="F31" s="29"/>
      <c r="G31" s="29"/>
      <c r="H31" s="29"/>
      <c r="I31" s="68"/>
      <c r="J31" s="29"/>
      <c r="K31" s="29"/>
      <c r="L31" s="29"/>
      <c r="M31" s="29"/>
      <c r="N31" s="29"/>
      <c r="O31" s="29"/>
      <c r="P31" s="29"/>
      <c r="Q31" s="186"/>
      <c r="R31" s="199"/>
      <c r="S31" s="113" t="s">
        <v>89</v>
      </c>
      <c r="T31" s="29"/>
      <c r="U31" s="29"/>
      <c r="V31" s="29"/>
      <c r="W31" s="29">
        <v>0</v>
      </c>
      <c r="X31" s="29">
        <v>4740</v>
      </c>
      <c r="Y31" s="29">
        <v>44900</v>
      </c>
      <c r="Z31" s="29">
        <v>100000</v>
      </c>
      <c r="AA31" s="29">
        <v>26266.06523</v>
      </c>
      <c r="AB31" s="29">
        <v>240000</v>
      </c>
      <c r="AC31" s="29"/>
      <c r="AD31" s="29">
        <v>211592.99100000001</v>
      </c>
      <c r="AE31" s="1"/>
      <c r="AF31" s="1"/>
      <c r="AG31" s="1"/>
      <c r="AH31" s="1"/>
      <c r="AI31" s="1"/>
      <c r="BR31" s="29">
        <v>5710</v>
      </c>
      <c r="BS31" s="29"/>
      <c r="BT31" s="29">
        <v>200000</v>
      </c>
      <c r="BU31" s="29">
        <v>200000</v>
      </c>
    </row>
    <row r="32" spans="1:73" ht="71.45" customHeight="1" x14ac:dyDescent="0.25">
      <c r="A32" s="28" t="s">
        <v>91</v>
      </c>
      <c r="B32" s="29">
        <v>33723.599999999999</v>
      </c>
      <c r="C32" s="29">
        <v>36699.5</v>
      </c>
      <c r="D32" s="29">
        <v>57340.783000000003</v>
      </c>
      <c r="E32" s="117">
        <v>79898.547000000006</v>
      </c>
      <c r="F32" s="117">
        <v>108332.27</v>
      </c>
      <c r="G32" s="29">
        <v>147832.921</v>
      </c>
      <c r="H32" s="29">
        <v>178019.3</v>
      </c>
      <c r="I32" s="29">
        <v>178347.87821</v>
      </c>
      <c r="J32" s="29">
        <v>189690.2</v>
      </c>
      <c r="K32" s="29"/>
      <c r="L32" s="29">
        <v>195126</v>
      </c>
      <c r="M32" s="29">
        <v>172885.11718</v>
      </c>
      <c r="N32" s="29">
        <v>195126</v>
      </c>
      <c r="O32" s="29">
        <v>195126</v>
      </c>
      <c r="P32" s="29">
        <v>195126</v>
      </c>
      <c r="Q32" s="186"/>
      <c r="R32" s="199"/>
      <c r="S32" s="115" t="s">
        <v>90</v>
      </c>
      <c r="T32" s="29"/>
      <c r="U32" s="29"/>
      <c r="V32" s="29"/>
      <c r="W32" s="29"/>
      <c r="X32" s="29"/>
      <c r="Y32" s="29"/>
      <c r="Z32" s="29"/>
      <c r="AA32" s="68"/>
      <c r="AB32" s="29"/>
      <c r="AC32" s="29"/>
      <c r="AD32" s="29">
        <v>10000</v>
      </c>
      <c r="AE32" s="1"/>
      <c r="AF32" s="1"/>
      <c r="AG32" s="1"/>
      <c r="AH32" s="1"/>
      <c r="AI32" s="116">
        <f>X28+X29+0.48-X34</f>
        <v>-2373.9799999999814</v>
      </c>
      <c r="BR32" s="29">
        <v>77.712320000000005</v>
      </c>
      <c r="BS32" s="29">
        <v>1000</v>
      </c>
      <c r="BT32" s="29">
        <v>1000</v>
      </c>
      <c r="BU32" s="29">
        <v>1000</v>
      </c>
    </row>
    <row r="33" spans="1:73" ht="22.5" x14ac:dyDescent="0.2">
      <c r="A33" s="28"/>
      <c r="B33" s="29"/>
      <c r="C33" s="29"/>
      <c r="D33" s="29"/>
      <c r="E33" s="29"/>
      <c r="F33" s="29"/>
      <c r="G33" s="68"/>
      <c r="H33" s="29"/>
      <c r="I33" s="68"/>
      <c r="J33" s="29"/>
      <c r="K33" s="29"/>
      <c r="L33" s="29"/>
      <c r="M33" s="29"/>
      <c r="N33" s="29"/>
      <c r="O33" s="29"/>
      <c r="P33" s="29"/>
      <c r="Q33" s="186"/>
      <c r="R33" s="199"/>
      <c r="S33" s="118" t="s">
        <v>92</v>
      </c>
      <c r="T33" s="37">
        <f>T34+T35</f>
        <v>240551.8</v>
      </c>
      <c r="U33" s="37">
        <f>U34+U35</f>
        <v>271317.61499999999</v>
      </c>
      <c r="V33" s="37">
        <f>V34+V35</f>
        <v>266992.68</v>
      </c>
      <c r="W33" s="37">
        <f>W34+W35</f>
        <v>283995.49600000004</v>
      </c>
      <c r="X33" s="37">
        <f>X34+X35-0.01</f>
        <v>297277.55</v>
      </c>
      <c r="Y33" s="37">
        <f>Y34+Y35</f>
        <v>280906.92800000001</v>
      </c>
      <c r="Z33" s="37">
        <f>Z34+Z35</f>
        <v>456000</v>
      </c>
      <c r="AA33" s="37">
        <f>AA34+AA35</f>
        <v>219028.63553999999</v>
      </c>
      <c r="AB33" s="37">
        <f t="shared" ref="AB33:BR33" si="36">AB34+AB35</f>
        <v>617000</v>
      </c>
      <c r="AC33" s="37">
        <f t="shared" si="36"/>
        <v>0</v>
      </c>
      <c r="AD33" s="37">
        <f t="shared" si="36"/>
        <v>617000</v>
      </c>
      <c r="AE33" s="37">
        <f t="shared" si="36"/>
        <v>0</v>
      </c>
      <c r="AF33" s="37">
        <f t="shared" si="36"/>
        <v>0</v>
      </c>
      <c r="AG33" s="37">
        <f t="shared" si="36"/>
        <v>0</v>
      </c>
      <c r="AH33" s="37">
        <f t="shared" si="36"/>
        <v>0</v>
      </c>
      <c r="AI33" s="37">
        <f t="shared" si="36"/>
        <v>0</v>
      </c>
      <c r="AJ33" s="37">
        <f t="shared" si="36"/>
        <v>0</v>
      </c>
      <c r="AK33" s="37">
        <f t="shared" si="36"/>
        <v>0</v>
      </c>
      <c r="AL33" s="37">
        <f t="shared" si="36"/>
        <v>0</v>
      </c>
      <c r="AM33" s="37">
        <f t="shared" si="36"/>
        <v>0</v>
      </c>
      <c r="AN33" s="37">
        <f t="shared" si="36"/>
        <v>0</v>
      </c>
      <c r="AO33" s="37">
        <f t="shared" si="36"/>
        <v>0</v>
      </c>
      <c r="AP33" s="37">
        <f t="shared" si="36"/>
        <v>0</v>
      </c>
      <c r="AQ33" s="37">
        <f t="shared" si="36"/>
        <v>0</v>
      </c>
      <c r="AR33" s="37">
        <f t="shared" si="36"/>
        <v>0</v>
      </c>
      <c r="AS33" s="37">
        <f t="shared" si="36"/>
        <v>0</v>
      </c>
      <c r="AT33" s="37">
        <f t="shared" si="36"/>
        <v>0</v>
      </c>
      <c r="AU33" s="37">
        <f t="shared" si="36"/>
        <v>0</v>
      </c>
      <c r="AV33" s="37">
        <f t="shared" si="36"/>
        <v>0</v>
      </c>
      <c r="AW33" s="37">
        <f t="shared" si="36"/>
        <v>0</v>
      </c>
      <c r="AX33" s="37">
        <f t="shared" si="36"/>
        <v>0</v>
      </c>
      <c r="AY33" s="37">
        <f t="shared" si="36"/>
        <v>0</v>
      </c>
      <c r="AZ33" s="37">
        <f t="shared" si="36"/>
        <v>0</v>
      </c>
      <c r="BA33" s="37">
        <f t="shared" si="36"/>
        <v>0</v>
      </c>
      <c r="BB33" s="37">
        <f t="shared" si="36"/>
        <v>0</v>
      </c>
      <c r="BC33" s="37">
        <f t="shared" si="36"/>
        <v>0</v>
      </c>
      <c r="BD33" s="37">
        <f t="shared" si="36"/>
        <v>0</v>
      </c>
      <c r="BE33" s="37">
        <f t="shared" si="36"/>
        <v>0</v>
      </c>
      <c r="BF33" s="37">
        <f t="shared" si="36"/>
        <v>0</v>
      </c>
      <c r="BG33" s="37">
        <f t="shared" si="36"/>
        <v>0</v>
      </c>
      <c r="BH33" s="37">
        <f t="shared" si="36"/>
        <v>0</v>
      </c>
      <c r="BI33" s="37">
        <f t="shared" si="36"/>
        <v>0</v>
      </c>
      <c r="BJ33" s="37">
        <f t="shared" si="36"/>
        <v>0</v>
      </c>
      <c r="BK33" s="37">
        <f t="shared" si="36"/>
        <v>0</v>
      </c>
      <c r="BL33" s="37">
        <f t="shared" si="36"/>
        <v>0</v>
      </c>
      <c r="BM33" s="37">
        <f t="shared" si="36"/>
        <v>0</v>
      </c>
      <c r="BN33" s="37">
        <f t="shared" si="36"/>
        <v>0</v>
      </c>
      <c r="BO33" s="37">
        <f t="shared" si="36"/>
        <v>0</v>
      </c>
      <c r="BP33" s="37">
        <f t="shared" si="36"/>
        <v>0</v>
      </c>
      <c r="BQ33" s="37">
        <f t="shared" si="36"/>
        <v>0</v>
      </c>
      <c r="BR33" s="37">
        <f t="shared" si="36"/>
        <v>63248.611339999996</v>
      </c>
      <c r="BS33" s="37">
        <f>BS35</f>
        <v>250</v>
      </c>
      <c r="BT33" s="37">
        <f>BT35</f>
        <v>200250</v>
      </c>
      <c r="BU33" s="37">
        <f>BU35</f>
        <v>221112.291</v>
      </c>
    </row>
    <row r="34" spans="1:73" ht="22.5" x14ac:dyDescent="0.25">
      <c r="A34" s="28" t="s">
        <v>94</v>
      </c>
      <c r="B34" s="29">
        <v>209179.7</v>
      </c>
      <c r="C34" s="29">
        <v>250434</v>
      </c>
      <c r="D34" s="29">
        <v>348178.38900000002</v>
      </c>
      <c r="E34" s="29">
        <v>466120.96500000003</v>
      </c>
      <c r="F34" s="29">
        <v>609693.82999999996</v>
      </c>
      <c r="G34" s="29">
        <v>796226.95799999998</v>
      </c>
      <c r="H34" s="29">
        <v>1190225.308</v>
      </c>
      <c r="I34" s="29">
        <v>1145921.56057</v>
      </c>
      <c r="J34" s="29">
        <v>1240719.787</v>
      </c>
      <c r="K34" s="68">
        <f>17994.4+1663</f>
        <v>19657.400000000001</v>
      </c>
      <c r="L34" s="29">
        <v>1211611.18</v>
      </c>
      <c r="M34" s="29">
        <v>818692.99679</v>
      </c>
      <c r="N34" s="29">
        <v>1257444.6000000001</v>
      </c>
      <c r="O34" s="29">
        <v>1257444.6399999999</v>
      </c>
      <c r="P34" s="29">
        <v>1322056.9099999999</v>
      </c>
      <c r="Q34" s="186"/>
      <c r="R34" s="199"/>
      <c r="S34" s="28" t="s">
        <v>93</v>
      </c>
      <c r="T34" s="29">
        <v>171765.1</v>
      </c>
      <c r="U34" s="32">
        <v>197901.88699999999</v>
      </c>
      <c r="V34" s="32">
        <v>207541.25</v>
      </c>
      <c r="W34" s="32">
        <v>180998.28400000001</v>
      </c>
      <c r="X34" s="32">
        <f>216422.02</f>
        <v>216422.02</v>
      </c>
      <c r="Y34" s="32">
        <v>219163.948</v>
      </c>
      <c r="Z34" s="32">
        <f>356000</f>
        <v>356000</v>
      </c>
      <c r="AA34" s="32">
        <v>186563.60186</v>
      </c>
      <c r="AB34" s="32">
        <f>AB28+AB29+AB30</f>
        <v>377000</v>
      </c>
      <c r="AC34" s="32"/>
      <c r="AD34" s="32">
        <v>377000</v>
      </c>
      <c r="BR34" s="32">
        <v>48628.563899999994</v>
      </c>
      <c r="BS34" s="32"/>
      <c r="BT34" s="32"/>
      <c r="BU34" s="32"/>
    </row>
    <row r="35" spans="1:73" ht="22.5" x14ac:dyDescent="0.25">
      <c r="A35" s="120" t="s">
        <v>79</v>
      </c>
      <c r="B35" s="35">
        <f>B17</f>
        <v>29200</v>
      </c>
      <c r="C35" s="35"/>
      <c r="D35" s="35"/>
      <c r="E35" s="35"/>
      <c r="F35" s="35"/>
      <c r="G35" s="121"/>
      <c r="H35" s="35"/>
      <c r="I35" s="121"/>
      <c r="J35" s="35"/>
      <c r="K35" s="35"/>
      <c r="L35" s="29"/>
      <c r="M35" s="29"/>
      <c r="N35" s="29"/>
      <c r="O35" s="29"/>
      <c r="P35" s="29"/>
      <c r="Q35" s="186"/>
      <c r="R35" s="199"/>
      <c r="S35" s="119" t="s">
        <v>95</v>
      </c>
      <c r="T35" s="29">
        <v>68786.7</v>
      </c>
      <c r="U35" s="29">
        <v>73415.728000000003</v>
      </c>
      <c r="V35" s="29">
        <v>59451.43</v>
      </c>
      <c r="W35" s="29">
        <v>102997.212</v>
      </c>
      <c r="X35" s="29">
        <f>76415.54+4440</f>
        <v>80855.539999999994</v>
      </c>
      <c r="Y35" s="29">
        <v>61742.98</v>
      </c>
      <c r="Z35" s="29">
        <v>100000</v>
      </c>
      <c r="AA35" s="29">
        <f>32465.03368</f>
        <v>32465.03368</v>
      </c>
      <c r="AB35" s="29">
        <f>AB31</f>
        <v>240000</v>
      </c>
      <c r="AC35" s="29"/>
      <c r="AD35" s="29">
        <v>240000</v>
      </c>
      <c r="BR35" s="29">
        <v>14620.04744</v>
      </c>
      <c r="BS35" s="29">
        <f>BS27</f>
        <v>250</v>
      </c>
      <c r="BT35" s="29">
        <f>BT27</f>
        <v>200250</v>
      </c>
      <c r="BU35" s="29">
        <f>BU27+365.329+19496.962</f>
        <v>221112.291</v>
      </c>
    </row>
    <row r="36" spans="1:73" ht="22.5" x14ac:dyDescent="0.2">
      <c r="A36" s="28" t="s">
        <v>96</v>
      </c>
      <c r="B36" s="29">
        <v>1348846.2</v>
      </c>
      <c r="C36" s="29">
        <v>1624377.9</v>
      </c>
      <c r="D36" s="29">
        <v>1065932.118</v>
      </c>
      <c r="E36" s="29">
        <v>814892.34499999997</v>
      </c>
      <c r="F36" s="29">
        <v>931972.04</v>
      </c>
      <c r="G36" s="29">
        <v>1191936.993</v>
      </c>
      <c r="H36" s="29">
        <v>1436009.919</v>
      </c>
      <c r="I36" s="29">
        <v>1483676.02324</v>
      </c>
      <c r="J36" s="29">
        <f>31412.061+1439719.002</f>
        <v>1471131.0630000001</v>
      </c>
      <c r="K36" s="29">
        <f>60000+40000+1691.5</f>
        <v>101691.5</v>
      </c>
      <c r="L36" s="29">
        <v>3410339.1579999998</v>
      </c>
      <c r="M36" s="29">
        <v>3247979.7571399999</v>
      </c>
      <c r="N36" s="29">
        <v>1805749.054</v>
      </c>
      <c r="O36" s="29">
        <v>1805749.054</v>
      </c>
      <c r="P36" s="29">
        <v>1899429.121</v>
      </c>
      <c r="Q36" s="186"/>
      <c r="R36" s="199"/>
      <c r="S36" s="92" t="s">
        <v>71</v>
      </c>
      <c r="T36" s="93">
        <f t="shared" ref="T36:BU36" si="37">T27-T33</f>
        <v>13141.995980000036</v>
      </c>
      <c r="U36" s="93">
        <f t="shared" si="37"/>
        <v>13468.396999999997</v>
      </c>
      <c r="V36" s="93">
        <f t="shared" si="37"/>
        <v>10266.09600000002</v>
      </c>
      <c r="W36" s="93">
        <f t="shared" si="37"/>
        <v>-11642.707000000053</v>
      </c>
      <c r="X36" s="93">
        <f t="shared" si="37"/>
        <v>3910.4500000000116</v>
      </c>
      <c r="Y36" s="93">
        <f t="shared" si="37"/>
        <v>-33765.875999999989</v>
      </c>
      <c r="Z36" s="93">
        <f t="shared" si="37"/>
        <v>0</v>
      </c>
      <c r="AA36" s="93">
        <f t="shared" si="37"/>
        <v>-5632.5314999999828</v>
      </c>
      <c r="AB36" s="93">
        <f t="shared" si="37"/>
        <v>0</v>
      </c>
      <c r="AC36" s="93">
        <f t="shared" si="37"/>
        <v>0</v>
      </c>
      <c r="AD36" s="93">
        <f t="shared" si="37"/>
        <v>-39819.339999999967</v>
      </c>
      <c r="AE36" s="93">
        <f t="shared" si="37"/>
        <v>304053.19300000003</v>
      </c>
      <c r="AF36" s="93">
        <f t="shared" si="37"/>
        <v>0</v>
      </c>
      <c r="AG36" s="93">
        <f t="shared" si="37"/>
        <v>0</v>
      </c>
      <c r="AH36" s="93">
        <f t="shared" si="37"/>
        <v>0</v>
      </c>
      <c r="AI36" s="93">
        <f t="shared" si="37"/>
        <v>319045.3</v>
      </c>
      <c r="AJ36" s="93">
        <f t="shared" si="37"/>
        <v>0</v>
      </c>
      <c r="AK36" s="93">
        <f t="shared" si="37"/>
        <v>0</v>
      </c>
      <c r="AL36" s="93">
        <f t="shared" si="37"/>
        <v>0</v>
      </c>
      <c r="AM36" s="93">
        <f t="shared" si="37"/>
        <v>0</v>
      </c>
      <c r="AN36" s="93">
        <f t="shared" si="37"/>
        <v>0</v>
      </c>
      <c r="AO36" s="93">
        <f t="shared" si="37"/>
        <v>0</v>
      </c>
      <c r="AP36" s="93">
        <f t="shared" si="37"/>
        <v>0</v>
      </c>
      <c r="AQ36" s="93">
        <f t="shared" si="37"/>
        <v>0</v>
      </c>
      <c r="AR36" s="93">
        <f t="shared" si="37"/>
        <v>0</v>
      </c>
      <c r="AS36" s="93">
        <f t="shared" si="37"/>
        <v>0</v>
      </c>
      <c r="AT36" s="93">
        <f t="shared" si="37"/>
        <v>0</v>
      </c>
      <c r="AU36" s="93">
        <f t="shared" si="37"/>
        <v>0</v>
      </c>
      <c r="AV36" s="93">
        <f t="shared" si="37"/>
        <v>0</v>
      </c>
      <c r="AW36" s="93">
        <f t="shared" si="37"/>
        <v>0</v>
      </c>
      <c r="AX36" s="93">
        <f t="shared" si="37"/>
        <v>0</v>
      </c>
      <c r="AY36" s="93">
        <f t="shared" si="37"/>
        <v>0</v>
      </c>
      <c r="AZ36" s="93">
        <f t="shared" si="37"/>
        <v>0</v>
      </c>
      <c r="BA36" s="93">
        <f t="shared" si="37"/>
        <v>0</v>
      </c>
      <c r="BB36" s="93">
        <f t="shared" si="37"/>
        <v>0</v>
      </c>
      <c r="BC36" s="93">
        <f t="shared" si="37"/>
        <v>0</v>
      </c>
      <c r="BD36" s="93">
        <f t="shared" si="37"/>
        <v>0</v>
      </c>
      <c r="BE36" s="93">
        <f t="shared" si="37"/>
        <v>0</v>
      </c>
      <c r="BF36" s="93">
        <f t="shared" si="37"/>
        <v>0</v>
      </c>
      <c r="BG36" s="93">
        <f t="shared" si="37"/>
        <v>0</v>
      </c>
      <c r="BH36" s="93">
        <f t="shared" si="37"/>
        <v>0</v>
      </c>
      <c r="BI36" s="93">
        <f t="shared" si="37"/>
        <v>0</v>
      </c>
      <c r="BJ36" s="93">
        <f t="shared" si="37"/>
        <v>0</v>
      </c>
      <c r="BK36" s="93">
        <f t="shared" si="37"/>
        <v>0</v>
      </c>
      <c r="BL36" s="93">
        <f t="shared" si="37"/>
        <v>0</v>
      </c>
      <c r="BM36" s="93">
        <f t="shared" si="37"/>
        <v>0</v>
      </c>
      <c r="BN36" s="93">
        <f t="shared" si="37"/>
        <v>0</v>
      </c>
      <c r="BO36" s="93">
        <f t="shared" si="37"/>
        <v>0</v>
      </c>
      <c r="BP36" s="93">
        <f t="shared" si="37"/>
        <v>0</v>
      </c>
      <c r="BQ36" s="93">
        <f t="shared" si="37"/>
        <v>0</v>
      </c>
      <c r="BR36" s="93">
        <f t="shared" si="37"/>
        <v>-9957.0307600000015</v>
      </c>
      <c r="BS36" s="93">
        <f t="shared" si="37"/>
        <v>0</v>
      </c>
      <c r="BT36" s="93">
        <f t="shared" si="37"/>
        <v>0</v>
      </c>
      <c r="BU36" s="93">
        <f t="shared" si="37"/>
        <v>-19862.290999999997</v>
      </c>
    </row>
    <row r="37" spans="1:73" ht="22.5" x14ac:dyDescent="0.2">
      <c r="A37" s="28"/>
      <c r="B37" s="29">
        <v>373545.1</v>
      </c>
      <c r="C37" s="29"/>
      <c r="D37" s="29"/>
      <c r="E37" s="29"/>
      <c r="F37" s="29"/>
      <c r="G37" s="68"/>
      <c r="H37" s="29"/>
      <c r="I37" s="68"/>
      <c r="J37" s="29"/>
      <c r="K37" s="29"/>
      <c r="L37" s="29"/>
      <c r="M37" s="29"/>
      <c r="N37" s="29"/>
      <c r="O37" s="29"/>
      <c r="P37" s="29"/>
      <c r="Q37" s="186"/>
      <c r="R37" s="199"/>
      <c r="S37" s="92" t="s">
        <v>73</v>
      </c>
      <c r="T37" s="93">
        <f t="shared" ref="T37:BU37" si="38">T38</f>
        <v>0</v>
      </c>
      <c r="U37" s="93">
        <f t="shared" si="38"/>
        <v>-13468.4</v>
      </c>
      <c r="V37" s="93">
        <f t="shared" si="38"/>
        <v>-10266.1</v>
      </c>
      <c r="W37" s="93">
        <f t="shared" si="38"/>
        <v>11642.706999999999</v>
      </c>
      <c r="X37" s="93">
        <f>-X36</f>
        <v>-3910.4500000000116</v>
      </c>
      <c r="Y37" s="93">
        <f t="shared" si="38"/>
        <v>33765.877</v>
      </c>
      <c r="Z37" s="93">
        <f t="shared" si="38"/>
        <v>0</v>
      </c>
      <c r="AA37" s="93">
        <f t="shared" si="38"/>
        <v>5632.5315000000001</v>
      </c>
      <c r="AB37" s="93">
        <f t="shared" si="38"/>
        <v>0</v>
      </c>
      <c r="AC37" s="93">
        <f t="shared" si="38"/>
        <v>0</v>
      </c>
      <c r="AD37" s="93">
        <f t="shared" si="38"/>
        <v>29819.34</v>
      </c>
      <c r="AE37" s="93">
        <f t="shared" si="38"/>
        <v>0</v>
      </c>
      <c r="AF37" s="93">
        <f t="shared" si="38"/>
        <v>0</v>
      </c>
      <c r="AG37" s="93">
        <f t="shared" si="38"/>
        <v>0</v>
      </c>
      <c r="AH37" s="93">
        <f t="shared" si="38"/>
        <v>0</v>
      </c>
      <c r="AI37" s="93">
        <f t="shared" si="38"/>
        <v>0</v>
      </c>
      <c r="AJ37" s="93">
        <f t="shared" si="38"/>
        <v>0</v>
      </c>
      <c r="AK37" s="93">
        <f t="shared" si="38"/>
        <v>0</v>
      </c>
      <c r="AL37" s="93">
        <f t="shared" si="38"/>
        <v>0</v>
      </c>
      <c r="AM37" s="93">
        <f t="shared" si="38"/>
        <v>0</v>
      </c>
      <c r="AN37" s="93">
        <f t="shared" si="38"/>
        <v>0</v>
      </c>
      <c r="AO37" s="93">
        <f t="shared" si="38"/>
        <v>0</v>
      </c>
      <c r="AP37" s="93">
        <f t="shared" si="38"/>
        <v>0</v>
      </c>
      <c r="AQ37" s="93">
        <f t="shared" si="38"/>
        <v>0</v>
      </c>
      <c r="AR37" s="93">
        <f t="shared" si="38"/>
        <v>0</v>
      </c>
      <c r="AS37" s="93">
        <f t="shared" si="38"/>
        <v>0</v>
      </c>
      <c r="AT37" s="93">
        <f t="shared" si="38"/>
        <v>0</v>
      </c>
      <c r="AU37" s="93">
        <f t="shared" si="38"/>
        <v>0</v>
      </c>
      <c r="AV37" s="93">
        <f t="shared" si="38"/>
        <v>0</v>
      </c>
      <c r="AW37" s="93">
        <f t="shared" si="38"/>
        <v>0</v>
      </c>
      <c r="AX37" s="93">
        <f t="shared" si="38"/>
        <v>0</v>
      </c>
      <c r="AY37" s="93">
        <f t="shared" si="38"/>
        <v>0</v>
      </c>
      <c r="AZ37" s="93">
        <f t="shared" si="38"/>
        <v>0</v>
      </c>
      <c r="BA37" s="93">
        <f t="shared" si="38"/>
        <v>0</v>
      </c>
      <c r="BB37" s="93">
        <f t="shared" si="38"/>
        <v>0</v>
      </c>
      <c r="BC37" s="93">
        <f t="shared" si="38"/>
        <v>0</v>
      </c>
      <c r="BD37" s="93">
        <f t="shared" si="38"/>
        <v>0</v>
      </c>
      <c r="BE37" s="93">
        <f t="shared" si="38"/>
        <v>0</v>
      </c>
      <c r="BF37" s="93">
        <f t="shared" si="38"/>
        <v>0</v>
      </c>
      <c r="BG37" s="93">
        <f t="shared" si="38"/>
        <v>0</v>
      </c>
      <c r="BH37" s="93">
        <f t="shared" si="38"/>
        <v>0</v>
      </c>
      <c r="BI37" s="93">
        <f t="shared" si="38"/>
        <v>0</v>
      </c>
      <c r="BJ37" s="93">
        <f t="shared" si="38"/>
        <v>0</v>
      </c>
      <c r="BK37" s="93">
        <f t="shared" si="38"/>
        <v>0</v>
      </c>
      <c r="BL37" s="93">
        <f t="shared" si="38"/>
        <v>0</v>
      </c>
      <c r="BM37" s="93">
        <f t="shared" si="38"/>
        <v>0</v>
      </c>
      <c r="BN37" s="93">
        <f t="shared" si="38"/>
        <v>0</v>
      </c>
      <c r="BO37" s="93">
        <f t="shared" si="38"/>
        <v>0</v>
      </c>
      <c r="BP37" s="93">
        <f t="shared" si="38"/>
        <v>0</v>
      </c>
      <c r="BQ37" s="93">
        <f t="shared" si="38"/>
        <v>0</v>
      </c>
      <c r="BR37" s="93">
        <f t="shared" si="38"/>
        <v>9957.0307599999996</v>
      </c>
      <c r="BS37" s="93">
        <f t="shared" si="38"/>
        <v>0</v>
      </c>
      <c r="BT37" s="93">
        <f t="shared" si="38"/>
        <v>0</v>
      </c>
      <c r="BU37" s="93">
        <f t="shared" si="38"/>
        <v>19862.291000000001</v>
      </c>
    </row>
    <row r="38" spans="1:73" ht="45" x14ac:dyDescent="0.25">
      <c r="A38" s="85" t="s">
        <v>97</v>
      </c>
      <c r="B38" s="29">
        <v>1165330.5</v>
      </c>
      <c r="C38" s="29">
        <v>1306122.1000000001</v>
      </c>
      <c r="D38" s="29">
        <v>2297239.7319999998</v>
      </c>
      <c r="E38" s="29">
        <v>2251285.673</v>
      </c>
      <c r="F38" s="29">
        <f>2719948.85+226780.63</f>
        <v>2946729.48</v>
      </c>
      <c r="G38" s="29">
        <f>4934739.545+263321.715</f>
        <v>5198061.26</v>
      </c>
      <c r="H38" s="29">
        <v>3456327.8969999999</v>
      </c>
      <c r="I38" s="29">
        <f>6077670.31645+335268.93765</f>
        <v>6412939.2540999996</v>
      </c>
      <c r="J38" s="29">
        <f>2912012.071+375501.386</f>
        <v>3287513.4569999999</v>
      </c>
      <c r="K38" s="29">
        <f>500000</f>
        <v>500000</v>
      </c>
      <c r="L38" s="29">
        <v>7049913.5949999997</v>
      </c>
      <c r="M38" s="29">
        <v>7863450.0992999999</v>
      </c>
      <c r="N38" s="29">
        <f>8056824.486</f>
        <v>8056824.4859999996</v>
      </c>
      <c r="O38" s="29">
        <f>8056824.486</f>
        <v>8056824.4859999996</v>
      </c>
      <c r="P38" s="29">
        <f>7626323.1+628415.33</f>
        <v>8254738.4299999997</v>
      </c>
      <c r="Q38" s="186"/>
      <c r="R38" s="200"/>
      <c r="S38" s="28" t="s">
        <v>75</v>
      </c>
      <c r="T38" s="32"/>
      <c r="U38" s="32">
        <v>-13468.4</v>
      </c>
      <c r="V38" s="32">
        <v>-10266.1</v>
      </c>
      <c r="W38" s="32">
        <f>-25500.713+37143.42</f>
        <v>11642.706999999999</v>
      </c>
      <c r="X38" s="32">
        <v>-3910.45</v>
      </c>
      <c r="Y38" s="32">
        <v>33765.877</v>
      </c>
      <c r="Z38" s="32">
        <v>0</v>
      </c>
      <c r="AA38" s="32">
        <v>5632.5315000000001</v>
      </c>
      <c r="AB38" s="32"/>
      <c r="AC38" s="32"/>
      <c r="AD38" s="32">
        <v>29819.34</v>
      </c>
      <c r="BR38" s="32">
        <v>9957.0307599999996</v>
      </c>
      <c r="BS38" s="32"/>
      <c r="BT38" s="32"/>
      <c r="BU38" s="32">
        <f>365.329+19496.962</f>
        <v>19862.291000000001</v>
      </c>
    </row>
    <row r="39" spans="1:73" ht="43.5" x14ac:dyDescent="0.2">
      <c r="A39" s="120" t="s">
        <v>79</v>
      </c>
      <c r="B39" s="29">
        <v>180344</v>
      </c>
      <c r="C39" s="29"/>
      <c r="D39" s="29"/>
      <c r="E39" s="29"/>
      <c r="F39" s="29"/>
      <c r="G39" s="68"/>
      <c r="H39" s="29"/>
      <c r="I39" s="68"/>
      <c r="J39" s="29"/>
      <c r="K39" s="29"/>
      <c r="L39" s="29"/>
      <c r="M39" s="29"/>
      <c r="N39" s="29"/>
      <c r="O39" s="29"/>
      <c r="P39" s="29"/>
      <c r="Q39" s="186"/>
      <c r="R39" s="194" t="s">
        <v>98</v>
      </c>
      <c r="S39" s="112" t="s">
        <v>99</v>
      </c>
      <c r="T39" s="25">
        <f t="shared" ref="T39:BR39" si="39">T40+T41+T42</f>
        <v>25270.3</v>
      </c>
      <c r="U39" s="25">
        <f t="shared" si="39"/>
        <v>62943.519</v>
      </c>
      <c r="V39" s="25">
        <f t="shared" si="39"/>
        <v>80640.929999999993</v>
      </c>
      <c r="W39" s="25">
        <f t="shared" si="39"/>
        <v>80098.148000000001</v>
      </c>
      <c r="X39" s="25">
        <f t="shared" si="39"/>
        <v>59616.09</v>
      </c>
      <c r="Y39" s="25">
        <f t="shared" si="39"/>
        <v>50822.265999999996</v>
      </c>
      <c r="Z39" s="25">
        <f t="shared" si="39"/>
        <v>65520</v>
      </c>
      <c r="AA39" s="25">
        <f t="shared" si="39"/>
        <v>78328.552590000007</v>
      </c>
      <c r="AB39" s="25">
        <f t="shared" si="39"/>
        <v>89370</v>
      </c>
      <c r="AC39" s="25">
        <f t="shared" si="39"/>
        <v>0</v>
      </c>
      <c r="AD39" s="25">
        <f t="shared" si="39"/>
        <v>71483.327999999994</v>
      </c>
      <c r="AE39" s="25">
        <f t="shared" si="39"/>
        <v>0</v>
      </c>
      <c r="AF39" s="25">
        <f t="shared" si="39"/>
        <v>0</v>
      </c>
      <c r="AG39" s="25">
        <f t="shared" si="39"/>
        <v>0</v>
      </c>
      <c r="AH39" s="25">
        <f t="shared" si="39"/>
        <v>0</v>
      </c>
      <c r="AI39" s="25">
        <f t="shared" si="39"/>
        <v>0</v>
      </c>
      <c r="AJ39" s="25">
        <f t="shared" si="39"/>
        <v>0</v>
      </c>
      <c r="AK39" s="25">
        <f t="shared" si="39"/>
        <v>0</v>
      </c>
      <c r="AL39" s="25">
        <f t="shared" si="39"/>
        <v>0</v>
      </c>
      <c r="AM39" s="25">
        <f t="shared" si="39"/>
        <v>0</v>
      </c>
      <c r="AN39" s="25">
        <f t="shared" si="39"/>
        <v>0</v>
      </c>
      <c r="AO39" s="25">
        <f t="shared" si="39"/>
        <v>0</v>
      </c>
      <c r="AP39" s="25">
        <f t="shared" si="39"/>
        <v>0</v>
      </c>
      <c r="AQ39" s="25">
        <f t="shared" si="39"/>
        <v>0</v>
      </c>
      <c r="AR39" s="25">
        <f t="shared" si="39"/>
        <v>0</v>
      </c>
      <c r="AS39" s="25">
        <f t="shared" si="39"/>
        <v>0</v>
      </c>
      <c r="AT39" s="25">
        <f t="shared" si="39"/>
        <v>0</v>
      </c>
      <c r="AU39" s="25">
        <f t="shared" si="39"/>
        <v>0</v>
      </c>
      <c r="AV39" s="25">
        <f t="shared" si="39"/>
        <v>0</v>
      </c>
      <c r="AW39" s="25">
        <f t="shared" si="39"/>
        <v>0</v>
      </c>
      <c r="AX39" s="25">
        <f t="shared" si="39"/>
        <v>0</v>
      </c>
      <c r="AY39" s="25">
        <f t="shared" si="39"/>
        <v>0</v>
      </c>
      <c r="AZ39" s="25">
        <f t="shared" si="39"/>
        <v>0</v>
      </c>
      <c r="BA39" s="25">
        <f t="shared" si="39"/>
        <v>0</v>
      </c>
      <c r="BB39" s="25">
        <f t="shared" si="39"/>
        <v>0</v>
      </c>
      <c r="BC39" s="25">
        <f t="shared" si="39"/>
        <v>0</v>
      </c>
      <c r="BD39" s="25">
        <f t="shared" si="39"/>
        <v>0</v>
      </c>
      <c r="BE39" s="25">
        <f t="shared" si="39"/>
        <v>0</v>
      </c>
      <c r="BF39" s="25">
        <f t="shared" si="39"/>
        <v>0</v>
      </c>
      <c r="BG39" s="25">
        <f t="shared" si="39"/>
        <v>0</v>
      </c>
      <c r="BH39" s="25">
        <f t="shared" si="39"/>
        <v>0</v>
      </c>
      <c r="BI39" s="25">
        <f t="shared" si="39"/>
        <v>0</v>
      </c>
      <c r="BJ39" s="25">
        <f t="shared" si="39"/>
        <v>0</v>
      </c>
      <c r="BK39" s="25">
        <f t="shared" si="39"/>
        <v>0</v>
      </c>
      <c r="BL39" s="25">
        <f t="shared" si="39"/>
        <v>0</v>
      </c>
      <c r="BM39" s="25">
        <f t="shared" si="39"/>
        <v>0</v>
      </c>
      <c r="BN39" s="25">
        <f t="shared" si="39"/>
        <v>0</v>
      </c>
      <c r="BO39" s="25">
        <f t="shared" si="39"/>
        <v>0</v>
      </c>
      <c r="BP39" s="25">
        <f t="shared" si="39"/>
        <v>0</v>
      </c>
      <c r="BQ39" s="25">
        <f t="shared" si="39"/>
        <v>0</v>
      </c>
      <c r="BR39" s="25">
        <f t="shared" si="39"/>
        <v>57362.481210000005</v>
      </c>
      <c r="BS39" s="25">
        <f>BS40+BS41+BS42</f>
        <v>45000</v>
      </c>
      <c r="BT39" s="25">
        <f>BT40+BT41+BT42</f>
        <v>45000</v>
      </c>
      <c r="BU39" s="25">
        <f>BU40+BU41+BU42</f>
        <v>45000</v>
      </c>
    </row>
    <row r="40" spans="1:73" ht="45" x14ac:dyDescent="0.25">
      <c r="A40" s="123"/>
      <c r="B40" s="29"/>
      <c r="C40" s="35"/>
      <c r="D40" s="35"/>
      <c r="E40" s="35"/>
      <c r="F40" s="35"/>
      <c r="G40" s="121"/>
      <c r="H40" s="35"/>
      <c r="I40" s="121"/>
      <c r="J40" s="35"/>
      <c r="K40" s="35"/>
      <c r="L40" s="29"/>
      <c r="M40" s="29"/>
      <c r="N40" s="29"/>
      <c r="O40" s="29"/>
      <c r="P40" s="29"/>
      <c r="Q40" s="186"/>
      <c r="R40" s="194"/>
      <c r="S40" s="122" t="s">
        <v>100</v>
      </c>
      <c r="T40" s="86">
        <v>4305.5</v>
      </c>
      <c r="U40" s="86">
        <f>43170+4455.941</f>
        <v>47625.940999999999</v>
      </c>
      <c r="V40" s="86">
        <v>65596.789999999994</v>
      </c>
      <c r="W40" s="86">
        <f>42156.64-225.303+3287.209+3014.877</f>
        <v>48233.423000000003</v>
      </c>
      <c r="X40" s="86">
        <f>36414.78+1.41+3442.74+252.27</f>
        <v>40111.199999999997</v>
      </c>
      <c r="Y40" s="86">
        <v>36911.629999999997</v>
      </c>
      <c r="Z40" s="86">
        <v>39520</v>
      </c>
      <c r="AA40" s="86">
        <v>47436.323270000001</v>
      </c>
      <c r="AB40" s="86">
        <f>3600+35770</f>
        <v>39370</v>
      </c>
      <c r="AC40" s="86"/>
      <c r="AD40" s="86">
        <v>22133.302</v>
      </c>
      <c r="BR40" s="86">
        <f>51825.03031+2584.6186</f>
        <v>54409.648910000004</v>
      </c>
      <c r="BS40" s="86">
        <v>35000</v>
      </c>
      <c r="BT40" s="86">
        <v>35000</v>
      </c>
      <c r="BU40" s="86">
        <v>35000</v>
      </c>
    </row>
    <row r="41" spans="1:73" ht="22.5" x14ac:dyDescent="0.25">
      <c r="A41" s="28" t="s">
        <v>102</v>
      </c>
      <c r="B41" s="29">
        <f>900+183.9</f>
        <v>1083.9000000000001</v>
      </c>
      <c r="C41" s="29"/>
      <c r="D41" s="29">
        <v>124.5</v>
      </c>
      <c r="E41" s="117">
        <v>0</v>
      </c>
      <c r="F41" s="29">
        <v>1635.93</v>
      </c>
      <c r="G41" s="29">
        <v>0</v>
      </c>
      <c r="H41" s="29">
        <v>540</v>
      </c>
      <c r="I41" s="29">
        <v>180</v>
      </c>
      <c r="J41" s="29">
        <v>540</v>
      </c>
      <c r="K41" s="29"/>
      <c r="L41" s="29">
        <f t="shared" si="33"/>
        <v>540</v>
      </c>
      <c r="M41" s="29">
        <v>0</v>
      </c>
      <c r="N41" s="29">
        <v>540</v>
      </c>
      <c r="O41" s="29">
        <v>540</v>
      </c>
      <c r="P41" s="29">
        <v>4984.4560000000001</v>
      </c>
      <c r="Q41" s="186"/>
      <c r="R41" s="194"/>
      <c r="S41" s="122" t="s">
        <v>101</v>
      </c>
      <c r="T41" s="86">
        <v>8843.2999999999993</v>
      </c>
      <c r="U41" s="86">
        <v>15151.436</v>
      </c>
      <c r="V41" s="86">
        <v>14286.82</v>
      </c>
      <c r="W41" s="86">
        <v>31700.379000000001</v>
      </c>
      <c r="X41" s="86">
        <v>17857.3</v>
      </c>
      <c r="Y41" s="86">
        <v>13907.544</v>
      </c>
      <c r="Z41" s="86">
        <v>26000</v>
      </c>
      <c r="AA41" s="86">
        <v>17136.301319999999</v>
      </c>
      <c r="AB41" s="86">
        <v>50000</v>
      </c>
      <c r="AC41" s="86"/>
      <c r="AD41" s="86">
        <v>49350.025999999998</v>
      </c>
      <c r="BR41" s="86">
        <v>2952.8323</v>
      </c>
      <c r="BS41" s="86">
        <v>10000</v>
      </c>
      <c r="BT41" s="86">
        <v>10000</v>
      </c>
      <c r="BU41" s="86">
        <v>10000</v>
      </c>
    </row>
    <row r="42" spans="1:73" ht="22.5" x14ac:dyDescent="0.25">
      <c r="A42" s="28"/>
      <c r="B42" s="29"/>
      <c r="C42" s="29"/>
      <c r="D42" s="29"/>
      <c r="E42" s="29"/>
      <c r="F42" s="29"/>
      <c r="G42" s="68"/>
      <c r="H42" s="29"/>
      <c r="I42" s="68"/>
      <c r="J42" s="29"/>
      <c r="K42" s="29"/>
      <c r="L42" s="29"/>
      <c r="M42" s="29"/>
      <c r="N42" s="29"/>
      <c r="O42" s="29"/>
      <c r="P42" s="29"/>
      <c r="Q42" s="186"/>
      <c r="R42" s="194"/>
      <c r="S42" s="122" t="s">
        <v>103</v>
      </c>
      <c r="T42" s="86">
        <v>12121.5</v>
      </c>
      <c r="U42" s="86">
        <v>166.142</v>
      </c>
      <c r="V42" s="86">
        <v>757.32</v>
      </c>
      <c r="W42" s="86">
        <v>164.346</v>
      </c>
      <c r="X42" s="86">
        <v>1647.59</v>
      </c>
      <c r="Y42" s="86">
        <v>3.0920000000000001</v>
      </c>
      <c r="Z42" s="86">
        <v>0</v>
      </c>
      <c r="AA42" s="86">
        <v>13755.928</v>
      </c>
      <c r="AB42" s="86">
        <v>0</v>
      </c>
      <c r="AC42" s="86"/>
      <c r="AD42" s="86">
        <v>0</v>
      </c>
      <c r="BR42" s="86"/>
      <c r="BS42" s="86">
        <v>0</v>
      </c>
      <c r="BT42" s="86">
        <v>0</v>
      </c>
      <c r="BU42" s="86">
        <v>0</v>
      </c>
    </row>
    <row r="43" spans="1:73" ht="45" x14ac:dyDescent="0.2">
      <c r="A43" s="85" t="s">
        <v>105</v>
      </c>
      <c r="B43" s="29">
        <v>8342.9</v>
      </c>
      <c r="C43" s="29">
        <v>9017.1</v>
      </c>
      <c r="D43" s="29">
        <v>20862.108</v>
      </c>
      <c r="E43" s="29">
        <v>25019.524000000001</v>
      </c>
      <c r="F43" s="29">
        <v>28041.98</v>
      </c>
      <c r="G43" s="29">
        <v>36100.821000000004</v>
      </c>
      <c r="H43" s="29">
        <v>39871</v>
      </c>
      <c r="I43" s="29">
        <v>39691.486839999998</v>
      </c>
      <c r="J43" s="29">
        <v>48155.73</v>
      </c>
      <c r="K43" s="29"/>
      <c r="L43" s="29">
        <f t="shared" si="33"/>
        <v>48155.73</v>
      </c>
      <c r="M43" s="29">
        <v>31068.36505</v>
      </c>
      <c r="N43" s="29">
        <v>48155.73</v>
      </c>
      <c r="O43" s="29">
        <v>48155.73</v>
      </c>
      <c r="P43" s="29">
        <v>48155.73</v>
      </c>
      <c r="Q43" s="186"/>
      <c r="R43" s="194"/>
      <c r="S43" s="118" t="s">
        <v>104</v>
      </c>
      <c r="T43" s="37">
        <f>T44+T45+T46</f>
        <v>57844</v>
      </c>
      <c r="U43" s="37">
        <f>U44+U45+U46</f>
        <v>45992.65</v>
      </c>
      <c r="V43" s="37">
        <f>V44+V45+V46</f>
        <v>84280.72</v>
      </c>
      <c r="W43" s="37">
        <f>W44+W45+W46</f>
        <v>114313.29699999999</v>
      </c>
      <c r="X43" s="37">
        <f>X44+X45+X46-0.01</f>
        <v>66054.03</v>
      </c>
      <c r="Y43" s="37">
        <f>Y44+Y45+Y46</f>
        <v>43668.95</v>
      </c>
      <c r="Z43" s="37">
        <f>Z44+Z45+Z46</f>
        <v>65520</v>
      </c>
      <c r="AA43" s="37">
        <f>AA44+AA45+AA46</f>
        <v>67237.414699999994</v>
      </c>
      <c r="AB43" s="37">
        <f t="shared" ref="AB43:BR43" si="40">AB44+AB45+AB46</f>
        <v>89370</v>
      </c>
      <c r="AC43" s="37">
        <f t="shared" si="40"/>
        <v>0</v>
      </c>
      <c r="AD43" s="37">
        <f t="shared" si="40"/>
        <v>92378.697</v>
      </c>
      <c r="AE43" s="37">
        <f t="shared" si="40"/>
        <v>0</v>
      </c>
      <c r="AF43" s="37">
        <f t="shared" si="40"/>
        <v>0</v>
      </c>
      <c r="AG43" s="37">
        <f t="shared" si="40"/>
        <v>0</v>
      </c>
      <c r="AH43" s="37">
        <f t="shared" si="40"/>
        <v>0</v>
      </c>
      <c r="AI43" s="37">
        <f t="shared" si="40"/>
        <v>0</v>
      </c>
      <c r="AJ43" s="37">
        <f t="shared" si="40"/>
        <v>0</v>
      </c>
      <c r="AK43" s="37">
        <f t="shared" si="40"/>
        <v>0</v>
      </c>
      <c r="AL43" s="37">
        <f t="shared" si="40"/>
        <v>0</v>
      </c>
      <c r="AM43" s="37">
        <f t="shared" si="40"/>
        <v>0</v>
      </c>
      <c r="AN43" s="37">
        <f t="shared" si="40"/>
        <v>0</v>
      </c>
      <c r="AO43" s="37">
        <f t="shared" si="40"/>
        <v>0</v>
      </c>
      <c r="AP43" s="37">
        <f t="shared" si="40"/>
        <v>0</v>
      </c>
      <c r="AQ43" s="37">
        <f t="shared" si="40"/>
        <v>0</v>
      </c>
      <c r="AR43" s="37">
        <f t="shared" si="40"/>
        <v>0</v>
      </c>
      <c r="AS43" s="37">
        <f t="shared" si="40"/>
        <v>0</v>
      </c>
      <c r="AT43" s="37">
        <f t="shared" si="40"/>
        <v>0</v>
      </c>
      <c r="AU43" s="37">
        <f t="shared" si="40"/>
        <v>0</v>
      </c>
      <c r="AV43" s="37">
        <f t="shared" si="40"/>
        <v>0</v>
      </c>
      <c r="AW43" s="37">
        <f t="shared" si="40"/>
        <v>0</v>
      </c>
      <c r="AX43" s="37">
        <f t="shared" si="40"/>
        <v>0</v>
      </c>
      <c r="AY43" s="37">
        <f t="shared" si="40"/>
        <v>0</v>
      </c>
      <c r="AZ43" s="37">
        <f t="shared" si="40"/>
        <v>0</v>
      </c>
      <c r="BA43" s="37">
        <f t="shared" si="40"/>
        <v>0</v>
      </c>
      <c r="BB43" s="37">
        <f t="shared" si="40"/>
        <v>0</v>
      </c>
      <c r="BC43" s="37">
        <f t="shared" si="40"/>
        <v>0</v>
      </c>
      <c r="BD43" s="37">
        <f t="shared" si="40"/>
        <v>0</v>
      </c>
      <c r="BE43" s="37">
        <f t="shared" si="40"/>
        <v>0</v>
      </c>
      <c r="BF43" s="37">
        <f t="shared" si="40"/>
        <v>0</v>
      </c>
      <c r="BG43" s="37">
        <f t="shared" si="40"/>
        <v>0</v>
      </c>
      <c r="BH43" s="37">
        <f t="shared" si="40"/>
        <v>0</v>
      </c>
      <c r="BI43" s="37">
        <f t="shared" si="40"/>
        <v>0</v>
      </c>
      <c r="BJ43" s="37">
        <f t="shared" si="40"/>
        <v>0</v>
      </c>
      <c r="BK43" s="37">
        <f t="shared" si="40"/>
        <v>0</v>
      </c>
      <c r="BL43" s="37">
        <f t="shared" si="40"/>
        <v>0</v>
      </c>
      <c r="BM43" s="37">
        <f t="shared" si="40"/>
        <v>0</v>
      </c>
      <c r="BN43" s="37">
        <f t="shared" si="40"/>
        <v>0</v>
      </c>
      <c r="BO43" s="37">
        <f t="shared" si="40"/>
        <v>0</v>
      </c>
      <c r="BP43" s="37">
        <f t="shared" si="40"/>
        <v>0</v>
      </c>
      <c r="BQ43" s="37">
        <f t="shared" si="40"/>
        <v>0</v>
      </c>
      <c r="BR43" s="37">
        <f t="shared" si="40"/>
        <v>21937.09719</v>
      </c>
      <c r="BS43" s="37">
        <f>BS44+BS45</f>
        <v>45000</v>
      </c>
      <c r="BT43" s="37">
        <f>BT44+BT45</f>
        <v>45000</v>
      </c>
      <c r="BU43" s="37">
        <f>BU44+BU45+BU46</f>
        <v>101320.06600000001</v>
      </c>
    </row>
    <row r="44" spans="1:73" ht="22.5" x14ac:dyDescent="0.25">
      <c r="A44" s="85"/>
      <c r="B44" s="29"/>
      <c r="C44" s="29"/>
      <c r="D44" s="29"/>
      <c r="E44" s="29"/>
      <c r="F44" s="29"/>
      <c r="G44" s="68"/>
      <c r="H44" s="29"/>
      <c r="I44" s="68"/>
      <c r="J44" s="29"/>
      <c r="K44" s="29"/>
      <c r="L44" s="29"/>
      <c r="M44" s="29"/>
      <c r="N44" s="29"/>
      <c r="O44" s="29"/>
      <c r="P44" s="29"/>
      <c r="Q44" s="186"/>
      <c r="R44" s="194"/>
      <c r="S44" s="124" t="s">
        <v>106</v>
      </c>
      <c r="T44" s="32">
        <v>44747.9</v>
      </c>
      <c r="U44" s="32">
        <v>28939.850999999999</v>
      </c>
      <c r="V44" s="86">
        <v>67410.39</v>
      </c>
      <c r="W44" s="86">
        <v>80430.475999999995</v>
      </c>
      <c r="X44" s="86">
        <v>43848.68</v>
      </c>
      <c r="Y44" s="86">
        <v>27675.974999999999</v>
      </c>
      <c r="Z44" s="86">
        <v>39520</v>
      </c>
      <c r="AA44" s="86">
        <v>39760.378810000002</v>
      </c>
      <c r="AB44" s="86">
        <f>AB40</f>
        <v>39370</v>
      </c>
      <c r="AC44" s="86"/>
      <c r="AD44" s="86">
        <f t="shared" si="2"/>
        <v>39370</v>
      </c>
      <c r="BR44" s="86">
        <v>17309.630639999999</v>
      </c>
      <c r="BS44" s="86">
        <f>BS40</f>
        <v>35000</v>
      </c>
      <c r="BT44" s="86">
        <f>BT40</f>
        <v>35000</v>
      </c>
      <c r="BU44" s="86">
        <v>89336.716</v>
      </c>
    </row>
    <row r="45" spans="1:73" ht="22.5" x14ac:dyDescent="0.25">
      <c r="A45" s="28" t="s">
        <v>108</v>
      </c>
      <c r="B45" s="32">
        <v>1576847</v>
      </c>
      <c r="C45" s="32">
        <f>281438.6+598484.881</f>
        <v>879923.48100000003</v>
      </c>
      <c r="D45" s="32">
        <f>15059.668+719743.159</f>
        <v>734802.82699999993</v>
      </c>
      <c r="E45" s="32">
        <f>393445.321+738939.574</f>
        <v>1132384.895</v>
      </c>
      <c r="F45" s="32">
        <f>231543.35+710796.05</f>
        <v>942339.4</v>
      </c>
      <c r="G45" s="32">
        <f>250486.765+1495134.519</f>
        <v>1745621.284</v>
      </c>
      <c r="H45" s="32">
        <v>1109292.1029999999</v>
      </c>
      <c r="I45" s="32">
        <v>269320.59947000002</v>
      </c>
      <c r="J45" s="32">
        <v>863353.19499999995</v>
      </c>
      <c r="K45" s="32">
        <f>-275534.383</f>
        <v>-275534.38299999997</v>
      </c>
      <c r="L45" s="29">
        <v>1676575.4979999999</v>
      </c>
      <c r="M45" s="29">
        <v>2876298.3518700004</v>
      </c>
      <c r="N45" s="29">
        <f>1405222.008+1500000-248538.679</f>
        <v>2656683.3289999999</v>
      </c>
      <c r="O45" s="29">
        <v>1858649.544</v>
      </c>
      <c r="P45" s="29">
        <v>1373699.544</v>
      </c>
      <c r="Q45" s="186"/>
      <c r="R45" s="194"/>
      <c r="S45" s="125" t="s">
        <v>107</v>
      </c>
      <c r="T45" s="32">
        <v>13096.1</v>
      </c>
      <c r="U45" s="32">
        <v>12706.2</v>
      </c>
      <c r="V45" s="86">
        <v>16870.330000000002</v>
      </c>
      <c r="W45" s="86">
        <v>33882.821000000004</v>
      </c>
      <c r="X45" s="86">
        <v>21936.71</v>
      </c>
      <c r="Y45" s="86">
        <v>13920.222</v>
      </c>
      <c r="Z45" s="86">
        <v>26000</v>
      </c>
      <c r="AA45" s="86">
        <v>16498.729189999998</v>
      </c>
      <c r="AB45" s="86">
        <v>50000</v>
      </c>
      <c r="AC45" s="86"/>
      <c r="AD45" s="86">
        <f t="shared" si="2"/>
        <v>50000</v>
      </c>
      <c r="BR45" s="86">
        <v>3602.11825</v>
      </c>
      <c r="BS45" s="86">
        <v>10000</v>
      </c>
      <c r="BT45" s="86">
        <v>10000</v>
      </c>
      <c r="BU45" s="86">
        <v>10000</v>
      </c>
    </row>
    <row r="46" spans="1:73" ht="22.5" x14ac:dyDescent="0.25">
      <c r="A46" s="120" t="s">
        <v>79</v>
      </c>
      <c r="B46" s="80"/>
      <c r="C46" s="126"/>
      <c r="D46" s="80"/>
      <c r="E46" s="80"/>
      <c r="F46" s="80"/>
      <c r="G46" s="127"/>
      <c r="H46" s="80"/>
      <c r="I46" s="127"/>
      <c r="J46" s="80"/>
      <c r="K46" s="80"/>
      <c r="L46" s="29"/>
      <c r="M46" s="29"/>
      <c r="N46" s="29"/>
      <c r="O46" s="29"/>
      <c r="P46" s="29"/>
      <c r="Q46" s="186"/>
      <c r="R46" s="194"/>
      <c r="S46" s="125" t="s">
        <v>109</v>
      </c>
      <c r="T46" s="32">
        <v>0</v>
      </c>
      <c r="U46" s="32">
        <v>4346.5990000000002</v>
      </c>
      <c r="V46" s="32">
        <v>0</v>
      </c>
      <c r="W46" s="32">
        <v>0</v>
      </c>
      <c r="X46" s="32">
        <v>268.64999999999998</v>
      </c>
      <c r="Y46" s="86">
        <v>2072.7530000000002</v>
      </c>
      <c r="Z46" s="86">
        <v>0</v>
      </c>
      <c r="AA46" s="86">
        <v>10978.306699999999</v>
      </c>
      <c r="AB46" s="86"/>
      <c r="AC46" s="86"/>
      <c r="AD46" s="86">
        <v>3008.6970000000001</v>
      </c>
      <c r="BR46" s="86">
        <v>1025.3483000000001</v>
      </c>
      <c r="BS46" s="86"/>
      <c r="BT46" s="86"/>
      <c r="BU46" s="86">
        <v>1983.35</v>
      </c>
    </row>
    <row r="47" spans="1:73" ht="22.5" x14ac:dyDescent="0.2">
      <c r="A47" s="28" t="s">
        <v>110</v>
      </c>
      <c r="B47" s="29">
        <v>290104.2</v>
      </c>
      <c r="C47" s="29">
        <f>1098473.11-213609.71-598484.881</f>
        <v>286378.51900000009</v>
      </c>
      <c r="D47" s="29">
        <f>1307879.044-719743.159-D41-11.23</f>
        <v>588000.15500000003</v>
      </c>
      <c r="E47" s="29">
        <f>235957.806+22003.1+76243.465+2545.7+859686.493+3740.791+8359.616+145415.472+0.01+79650-738939.574</f>
        <v>694662.87899999996</v>
      </c>
      <c r="F47" s="29">
        <f>193970.47+1081033.65+27405.64+10322.95+20607.33+36682.39+3391.7-710796.05</f>
        <v>662618.07999999961</v>
      </c>
      <c r="G47" s="29">
        <f>216926.179+2011265.748+506841.141-36100.821-147832.921-250486.765+38385.14+3391.7-(1495134.519)</f>
        <v>847254.88199999998</v>
      </c>
      <c r="H47" s="29">
        <f>1145704.669-540</f>
        <v>1145164.669</v>
      </c>
      <c r="I47" s="29">
        <f>260083.36018+543735.21396+59738.13604+11120.59704+13598.67755+43894.1433</f>
        <v>932170.12806999998</v>
      </c>
      <c r="J47" s="29">
        <f>3881282.873+2564327.235-J32-J41-J43-J45-J38</f>
        <v>2056357.5259999991</v>
      </c>
      <c r="K47" s="29">
        <f>-955979.08+120000+12934.586+5715.9</f>
        <v>-817328.59399999992</v>
      </c>
      <c r="L47" s="29">
        <f>3365380.682-L41</f>
        <v>3364840.682</v>
      </c>
      <c r="M47" s="29">
        <v>2436040.5903500002</v>
      </c>
      <c r="N47" s="29">
        <f>3752291.088+345971.988</f>
        <v>4098263.0759999999</v>
      </c>
      <c r="O47" s="29">
        <f>4211646.872-O41</f>
        <v>4211106.8720000004</v>
      </c>
      <c r="P47" s="29">
        <f>350543.714+1816019.565-602649.544+86178.98+23390.98+P48+155200</f>
        <v>3795276.48</v>
      </c>
      <c r="Q47" s="186"/>
      <c r="R47" s="194"/>
      <c r="S47" s="128" t="s">
        <v>71</v>
      </c>
      <c r="T47" s="93">
        <f t="shared" ref="T47:BU47" si="41">T39-T43</f>
        <v>-32573.7</v>
      </c>
      <c r="U47" s="93">
        <f t="shared" si="41"/>
        <v>16950.868999999999</v>
      </c>
      <c r="V47" s="93">
        <f t="shared" si="41"/>
        <v>-3639.7900000000081</v>
      </c>
      <c r="W47" s="93">
        <f t="shared" si="41"/>
        <v>-34215.14899999999</v>
      </c>
      <c r="X47" s="93">
        <f t="shared" si="41"/>
        <v>-6437.9400000000023</v>
      </c>
      <c r="Y47" s="93">
        <f t="shared" si="41"/>
        <v>7153.3159999999989</v>
      </c>
      <c r="Z47" s="93">
        <f t="shared" si="41"/>
        <v>0</v>
      </c>
      <c r="AA47" s="93">
        <f t="shared" si="41"/>
        <v>11091.137890000013</v>
      </c>
      <c r="AB47" s="93">
        <f t="shared" si="41"/>
        <v>0</v>
      </c>
      <c r="AC47" s="93">
        <f t="shared" si="41"/>
        <v>0</v>
      </c>
      <c r="AD47" s="93">
        <f t="shared" si="41"/>
        <v>-20895.369000000006</v>
      </c>
      <c r="AE47" s="93">
        <f t="shared" si="41"/>
        <v>0</v>
      </c>
      <c r="AF47" s="93">
        <f t="shared" si="41"/>
        <v>0</v>
      </c>
      <c r="AG47" s="93">
        <f t="shared" si="41"/>
        <v>0</v>
      </c>
      <c r="AH47" s="93">
        <f t="shared" si="41"/>
        <v>0</v>
      </c>
      <c r="AI47" s="93">
        <f t="shared" si="41"/>
        <v>0</v>
      </c>
      <c r="AJ47" s="93">
        <f t="shared" si="41"/>
        <v>0</v>
      </c>
      <c r="AK47" s="93">
        <f t="shared" si="41"/>
        <v>0</v>
      </c>
      <c r="AL47" s="93">
        <f t="shared" si="41"/>
        <v>0</v>
      </c>
      <c r="AM47" s="93">
        <f t="shared" si="41"/>
        <v>0</v>
      </c>
      <c r="AN47" s="93">
        <f t="shared" si="41"/>
        <v>0</v>
      </c>
      <c r="AO47" s="93">
        <f t="shared" si="41"/>
        <v>0</v>
      </c>
      <c r="AP47" s="93">
        <f t="shared" si="41"/>
        <v>0</v>
      </c>
      <c r="AQ47" s="93">
        <f t="shared" si="41"/>
        <v>0</v>
      </c>
      <c r="AR47" s="93">
        <f t="shared" si="41"/>
        <v>0</v>
      </c>
      <c r="AS47" s="93">
        <f t="shared" si="41"/>
        <v>0</v>
      </c>
      <c r="AT47" s="93">
        <f t="shared" si="41"/>
        <v>0</v>
      </c>
      <c r="AU47" s="93">
        <f t="shared" si="41"/>
        <v>0</v>
      </c>
      <c r="AV47" s="93">
        <f t="shared" si="41"/>
        <v>0</v>
      </c>
      <c r="AW47" s="93">
        <f t="shared" si="41"/>
        <v>0</v>
      </c>
      <c r="AX47" s="93">
        <f t="shared" si="41"/>
        <v>0</v>
      </c>
      <c r="AY47" s="93">
        <f t="shared" si="41"/>
        <v>0</v>
      </c>
      <c r="AZ47" s="93">
        <f t="shared" si="41"/>
        <v>0</v>
      </c>
      <c r="BA47" s="93">
        <f t="shared" si="41"/>
        <v>0</v>
      </c>
      <c r="BB47" s="93">
        <f t="shared" si="41"/>
        <v>0</v>
      </c>
      <c r="BC47" s="93">
        <f t="shared" si="41"/>
        <v>0</v>
      </c>
      <c r="BD47" s="93">
        <f t="shared" si="41"/>
        <v>0</v>
      </c>
      <c r="BE47" s="93">
        <f t="shared" si="41"/>
        <v>0</v>
      </c>
      <c r="BF47" s="93">
        <f t="shared" si="41"/>
        <v>0</v>
      </c>
      <c r="BG47" s="93">
        <f t="shared" si="41"/>
        <v>0</v>
      </c>
      <c r="BH47" s="93">
        <f t="shared" si="41"/>
        <v>0</v>
      </c>
      <c r="BI47" s="93">
        <f t="shared" si="41"/>
        <v>0</v>
      </c>
      <c r="BJ47" s="93">
        <f t="shared" si="41"/>
        <v>0</v>
      </c>
      <c r="BK47" s="93">
        <f t="shared" si="41"/>
        <v>0</v>
      </c>
      <c r="BL47" s="93">
        <f t="shared" si="41"/>
        <v>0</v>
      </c>
      <c r="BM47" s="93">
        <f t="shared" si="41"/>
        <v>0</v>
      </c>
      <c r="BN47" s="93">
        <f t="shared" si="41"/>
        <v>0</v>
      </c>
      <c r="BO47" s="93">
        <f t="shared" si="41"/>
        <v>0</v>
      </c>
      <c r="BP47" s="93">
        <f t="shared" si="41"/>
        <v>0</v>
      </c>
      <c r="BQ47" s="93">
        <f t="shared" si="41"/>
        <v>0</v>
      </c>
      <c r="BR47" s="93">
        <f t="shared" si="41"/>
        <v>35425.384020000005</v>
      </c>
      <c r="BS47" s="93">
        <f t="shared" si="41"/>
        <v>0</v>
      </c>
      <c r="BT47" s="93">
        <f t="shared" si="41"/>
        <v>0</v>
      </c>
      <c r="BU47" s="93">
        <f t="shared" si="41"/>
        <v>-56320.066000000006</v>
      </c>
    </row>
    <row r="48" spans="1:73" ht="21.75" customHeight="1" x14ac:dyDescent="0.2">
      <c r="A48" s="34" t="s">
        <v>111</v>
      </c>
      <c r="B48" s="35"/>
      <c r="C48" s="35"/>
      <c r="D48" s="35"/>
      <c r="E48" s="35"/>
      <c r="F48" s="35"/>
      <c r="G48" s="121"/>
      <c r="H48" s="35">
        <v>212371.20000000001</v>
      </c>
      <c r="I48" s="121"/>
      <c r="J48" s="35">
        <v>400000</v>
      </c>
      <c r="K48" s="35"/>
      <c r="L48" s="29">
        <v>1620333.7</v>
      </c>
      <c r="M48" s="29"/>
      <c r="N48" s="29">
        <v>3000000</v>
      </c>
      <c r="O48" s="29">
        <v>3000000</v>
      </c>
      <c r="P48" s="29">
        <f>1966592.785</f>
        <v>1966592.7849999999</v>
      </c>
      <c r="Q48" s="186"/>
      <c r="R48" s="194"/>
      <c r="S48" s="92" t="s">
        <v>73</v>
      </c>
      <c r="T48" s="93">
        <f t="shared" ref="T48:BU48" si="42">T49</f>
        <v>0</v>
      </c>
      <c r="U48" s="93">
        <f t="shared" si="42"/>
        <v>-16950.87</v>
      </c>
      <c r="V48" s="93">
        <f t="shared" si="42"/>
        <v>3639.79</v>
      </c>
      <c r="W48" s="93">
        <f t="shared" si="42"/>
        <v>34215.148000000001</v>
      </c>
      <c r="X48" s="93">
        <v>6437.94</v>
      </c>
      <c r="Y48" s="93">
        <f t="shared" si="42"/>
        <v>-7153.3159999999998</v>
      </c>
      <c r="Z48" s="93">
        <f t="shared" si="42"/>
        <v>0</v>
      </c>
      <c r="AA48" s="93">
        <f t="shared" si="42"/>
        <v>-11091.13789</v>
      </c>
      <c r="AB48" s="93">
        <f t="shared" si="42"/>
        <v>0</v>
      </c>
      <c r="AC48" s="93">
        <f t="shared" si="42"/>
        <v>0</v>
      </c>
      <c r="AD48" s="93">
        <f t="shared" si="42"/>
        <v>20895.368999999999</v>
      </c>
      <c r="AE48" s="93">
        <f t="shared" si="42"/>
        <v>0</v>
      </c>
      <c r="AF48" s="93">
        <f t="shared" si="42"/>
        <v>0</v>
      </c>
      <c r="AG48" s="93">
        <f t="shared" si="42"/>
        <v>0</v>
      </c>
      <c r="AH48" s="93">
        <f t="shared" si="42"/>
        <v>0</v>
      </c>
      <c r="AI48" s="93">
        <f t="shared" si="42"/>
        <v>0</v>
      </c>
      <c r="AJ48" s="93">
        <f t="shared" si="42"/>
        <v>0</v>
      </c>
      <c r="AK48" s="93">
        <f t="shared" si="42"/>
        <v>0</v>
      </c>
      <c r="AL48" s="93">
        <f t="shared" si="42"/>
        <v>0</v>
      </c>
      <c r="AM48" s="93">
        <f t="shared" si="42"/>
        <v>0</v>
      </c>
      <c r="AN48" s="93">
        <f t="shared" si="42"/>
        <v>0</v>
      </c>
      <c r="AO48" s="93">
        <f t="shared" si="42"/>
        <v>0</v>
      </c>
      <c r="AP48" s="93">
        <f t="shared" si="42"/>
        <v>0</v>
      </c>
      <c r="AQ48" s="93">
        <f t="shared" si="42"/>
        <v>0</v>
      </c>
      <c r="AR48" s="93">
        <f t="shared" si="42"/>
        <v>0</v>
      </c>
      <c r="AS48" s="93">
        <f t="shared" si="42"/>
        <v>0</v>
      </c>
      <c r="AT48" s="93">
        <f t="shared" si="42"/>
        <v>0</v>
      </c>
      <c r="AU48" s="93">
        <f t="shared" si="42"/>
        <v>0</v>
      </c>
      <c r="AV48" s="93">
        <f t="shared" si="42"/>
        <v>0</v>
      </c>
      <c r="AW48" s="93">
        <f t="shared" si="42"/>
        <v>0</v>
      </c>
      <c r="AX48" s="93">
        <f t="shared" si="42"/>
        <v>0</v>
      </c>
      <c r="AY48" s="93">
        <f t="shared" si="42"/>
        <v>0</v>
      </c>
      <c r="AZ48" s="93">
        <f t="shared" si="42"/>
        <v>0</v>
      </c>
      <c r="BA48" s="93">
        <f t="shared" si="42"/>
        <v>0</v>
      </c>
      <c r="BB48" s="93">
        <f t="shared" si="42"/>
        <v>0</v>
      </c>
      <c r="BC48" s="93">
        <f t="shared" si="42"/>
        <v>0</v>
      </c>
      <c r="BD48" s="93">
        <f t="shared" si="42"/>
        <v>0</v>
      </c>
      <c r="BE48" s="93">
        <f t="shared" si="42"/>
        <v>0</v>
      </c>
      <c r="BF48" s="93">
        <f t="shared" si="42"/>
        <v>0</v>
      </c>
      <c r="BG48" s="93">
        <f t="shared" si="42"/>
        <v>0</v>
      </c>
      <c r="BH48" s="93">
        <f t="shared" si="42"/>
        <v>0</v>
      </c>
      <c r="BI48" s="93">
        <f t="shared" si="42"/>
        <v>0</v>
      </c>
      <c r="BJ48" s="93">
        <f t="shared" si="42"/>
        <v>0</v>
      </c>
      <c r="BK48" s="93">
        <f t="shared" si="42"/>
        <v>0</v>
      </c>
      <c r="BL48" s="93">
        <f t="shared" si="42"/>
        <v>0</v>
      </c>
      <c r="BM48" s="93">
        <f t="shared" si="42"/>
        <v>0</v>
      </c>
      <c r="BN48" s="93">
        <f t="shared" si="42"/>
        <v>0</v>
      </c>
      <c r="BO48" s="93">
        <f t="shared" si="42"/>
        <v>0</v>
      </c>
      <c r="BP48" s="93">
        <f t="shared" si="42"/>
        <v>0</v>
      </c>
      <c r="BQ48" s="93">
        <f t="shared" si="42"/>
        <v>0</v>
      </c>
      <c r="BR48" s="93">
        <f t="shared" si="42"/>
        <v>-35425.384010000002</v>
      </c>
      <c r="BS48" s="93">
        <f t="shared" si="42"/>
        <v>0</v>
      </c>
      <c r="BT48" s="93">
        <f t="shared" si="42"/>
        <v>0</v>
      </c>
      <c r="BU48" s="93">
        <f t="shared" si="42"/>
        <v>56320.065999999999</v>
      </c>
    </row>
    <row r="49" spans="1:73" ht="21.75" customHeight="1" x14ac:dyDescent="0.25">
      <c r="A49" s="34"/>
      <c r="B49" s="29"/>
      <c r="C49" s="29"/>
      <c r="D49" s="35"/>
      <c r="E49" s="35"/>
      <c r="F49" s="35"/>
      <c r="G49" s="121"/>
      <c r="H49" s="35"/>
      <c r="I49" s="121"/>
      <c r="J49" s="35"/>
      <c r="K49" s="35"/>
      <c r="L49" s="35"/>
      <c r="M49" s="35"/>
      <c r="N49" s="35"/>
      <c r="O49" s="35"/>
      <c r="P49" s="35"/>
      <c r="Q49" s="186"/>
      <c r="R49" s="194"/>
      <c r="S49" s="28" t="s">
        <v>75</v>
      </c>
      <c r="T49" s="32"/>
      <c r="U49" s="32">
        <v>-16950.87</v>
      </c>
      <c r="V49" s="32">
        <v>3639.79</v>
      </c>
      <c r="W49" s="32">
        <f>32197.053+2182.441-164.346</f>
        <v>34215.148000000001</v>
      </c>
      <c r="X49" s="32">
        <v>6437.94</v>
      </c>
      <c r="Y49" s="32">
        <v>-7153.3159999999998</v>
      </c>
      <c r="Z49" s="32">
        <v>0</v>
      </c>
      <c r="AA49" s="32">
        <v>-11091.13789</v>
      </c>
      <c r="AB49" s="32"/>
      <c r="AC49" s="32"/>
      <c r="AD49" s="32">
        <v>20895.368999999999</v>
      </c>
      <c r="BR49" s="32">
        <v>-35425.384010000002</v>
      </c>
      <c r="BS49" s="32"/>
      <c r="BT49" s="32"/>
      <c r="BU49" s="32">
        <v>56320.065999999999</v>
      </c>
    </row>
    <row r="50" spans="1:73" ht="21.75" customHeight="1" x14ac:dyDescent="0.25">
      <c r="A50" s="28"/>
      <c r="B50" s="29"/>
      <c r="C50" s="29"/>
      <c r="D50" s="29"/>
      <c r="E50" s="29"/>
      <c r="F50" s="29"/>
      <c r="G50" s="68"/>
      <c r="H50" s="29"/>
      <c r="I50" s="68"/>
      <c r="J50" s="29"/>
      <c r="K50" s="29"/>
      <c r="L50" s="29"/>
      <c r="M50" s="29"/>
      <c r="N50" s="176"/>
      <c r="O50" s="176"/>
      <c r="P50" s="176"/>
      <c r="Q50" s="186"/>
      <c r="R50" s="194" t="s">
        <v>112</v>
      </c>
      <c r="S50" s="129" t="s">
        <v>113</v>
      </c>
      <c r="T50" s="25">
        <v>162.80000000000001</v>
      </c>
      <c r="U50" s="25">
        <v>597258.44900000002</v>
      </c>
      <c r="V50" s="25">
        <v>1039168.71</v>
      </c>
      <c r="W50" s="25">
        <f>1153086.5+248566.811</f>
        <v>1401653.311</v>
      </c>
      <c r="X50" s="25">
        <f>1467520.3+105</f>
        <v>1467625.3</v>
      </c>
      <c r="Y50" s="25">
        <v>2217296.7000000002</v>
      </c>
      <c r="Z50" s="25">
        <v>1810115.1</v>
      </c>
      <c r="AA50" s="25">
        <v>2575128.6</v>
      </c>
      <c r="AB50" s="25">
        <f>AB51</f>
        <v>2237538.1</v>
      </c>
      <c r="AC50" s="25">
        <f>76600.8</f>
        <v>76600.800000000003</v>
      </c>
      <c r="AD50" s="25">
        <v>2460041.1</v>
      </c>
      <c r="AE50" s="1"/>
      <c r="AF50" s="1"/>
      <c r="BR50" s="25">
        <v>738985.90914</v>
      </c>
      <c r="BS50" s="25">
        <v>0</v>
      </c>
      <c r="BT50" s="25">
        <v>1602299.2</v>
      </c>
      <c r="BU50" s="25">
        <v>1602299.2</v>
      </c>
    </row>
    <row r="51" spans="1:73" ht="21.75" x14ac:dyDescent="0.25">
      <c r="A51" s="92" t="s">
        <v>115</v>
      </c>
      <c r="B51" s="131">
        <f t="shared" ref="B51:P51" si="43">B4-B22</f>
        <v>6258572.1000000089</v>
      </c>
      <c r="C51" s="131">
        <f t="shared" si="43"/>
        <v>11473093.899999999</v>
      </c>
      <c r="D51" s="131">
        <f t="shared" si="43"/>
        <v>11157848.441000003</v>
      </c>
      <c r="E51" s="131">
        <f t="shared" si="43"/>
        <v>14576678.311000012</v>
      </c>
      <c r="F51" s="131">
        <f t="shared" si="43"/>
        <v>16786681.920000009</v>
      </c>
      <c r="G51" s="131">
        <f t="shared" si="43"/>
        <v>13743233.903999999</v>
      </c>
      <c r="H51" s="131">
        <f t="shared" si="43"/>
        <v>10933990.554000005</v>
      </c>
      <c r="I51" s="131">
        <f t="shared" si="43"/>
        <v>18066491.274599992</v>
      </c>
      <c r="J51" s="131">
        <f t="shared" si="43"/>
        <v>12305539.762000002</v>
      </c>
      <c r="K51" s="131">
        <f t="shared" si="43"/>
        <v>2016971.8769999999</v>
      </c>
      <c r="L51" s="131">
        <f t="shared" si="43"/>
        <v>7616618.8080000132</v>
      </c>
      <c r="M51" s="131">
        <f t="shared" si="43"/>
        <v>17549425.398419999</v>
      </c>
      <c r="N51" s="131">
        <f t="shared" si="43"/>
        <v>6065609.5310000032</v>
      </c>
      <c r="O51" s="131">
        <f t="shared" si="43"/>
        <v>6675117.8940000013</v>
      </c>
      <c r="P51" s="131">
        <f t="shared" si="43"/>
        <v>6494183.0180000141</v>
      </c>
      <c r="Q51" s="186"/>
      <c r="R51" s="194"/>
      <c r="S51" s="130" t="s">
        <v>114</v>
      </c>
      <c r="T51" s="37">
        <f t="shared" ref="T51:AD51" si="44">T52</f>
        <v>525.9</v>
      </c>
      <c r="U51" s="37">
        <f t="shared" si="44"/>
        <v>387863.58199999999</v>
      </c>
      <c r="V51" s="37">
        <f t="shared" si="44"/>
        <v>813786.47</v>
      </c>
      <c r="W51" s="37">
        <f t="shared" si="44"/>
        <v>1815459.898</v>
      </c>
      <c r="X51" s="37">
        <f t="shared" si="44"/>
        <v>1423537.95</v>
      </c>
      <c r="Y51" s="37">
        <f t="shared" si="44"/>
        <v>2259291.8339999998</v>
      </c>
      <c r="Z51" s="37">
        <f t="shared" si="44"/>
        <v>1810115.1</v>
      </c>
      <c r="AA51" s="37">
        <v>2581300.2152399998</v>
      </c>
      <c r="AB51" s="37">
        <f t="shared" si="44"/>
        <v>2237538.1</v>
      </c>
      <c r="AC51" s="37">
        <f>AC50</f>
        <v>76600.800000000003</v>
      </c>
      <c r="AD51" s="37">
        <f t="shared" si="44"/>
        <v>2473445.2719999999</v>
      </c>
      <c r="AE51" s="1"/>
      <c r="AF51" s="1"/>
      <c r="BR51" s="37">
        <f>BR52</f>
        <v>496014.30606999999</v>
      </c>
      <c r="BS51" s="37">
        <v>0</v>
      </c>
      <c r="BT51" s="37">
        <f>BT52</f>
        <v>1602299.2</v>
      </c>
      <c r="BU51" s="37">
        <f>BU52</f>
        <v>1858674.976</v>
      </c>
    </row>
    <row r="52" spans="1:73" ht="45" x14ac:dyDescent="0.25">
      <c r="A52" s="92" t="s">
        <v>117</v>
      </c>
      <c r="B52" s="131"/>
      <c r="C52" s="131">
        <v>-1915253</v>
      </c>
      <c r="D52" s="131"/>
      <c r="E52" s="131"/>
      <c r="F52" s="131">
        <v>-196004.3</v>
      </c>
      <c r="G52" s="131">
        <v>86734.081000000006</v>
      </c>
      <c r="H52" s="131">
        <v>77836.671000000002</v>
      </c>
      <c r="I52" s="131">
        <f>50094.05787-2447.86894</f>
        <v>47646.188929999997</v>
      </c>
      <c r="J52" s="131">
        <v>2434028.2850000001</v>
      </c>
      <c r="K52" s="131">
        <f>4351.118-275534.383-2157836.512</f>
        <v>-2429019.7770000002</v>
      </c>
      <c r="L52" s="131">
        <f>18278.508</f>
        <v>18278.508000000002</v>
      </c>
      <c r="M52" s="131">
        <v>-915770.63465000002</v>
      </c>
      <c r="N52" s="131">
        <v>-388109.53</v>
      </c>
      <c r="O52" s="131">
        <v>-66768.264999999999</v>
      </c>
      <c r="P52" s="131">
        <v>257486.41899999999</v>
      </c>
      <c r="Q52" s="186"/>
      <c r="R52" s="194"/>
      <c r="S52" s="132" t="s">
        <v>116</v>
      </c>
      <c r="T52" s="133">
        <v>525.9</v>
      </c>
      <c r="U52" s="133">
        <f>387863.582</f>
        <v>387863.58199999999</v>
      </c>
      <c r="V52" s="133">
        <v>813786.47</v>
      </c>
      <c r="W52" s="133">
        <f>663886.686+1151573.212</f>
        <v>1815459.898</v>
      </c>
      <c r="X52" s="133">
        <f>1407567.66+15970.29</f>
        <v>1423537.95</v>
      </c>
      <c r="Y52" s="133">
        <v>2259291.8339999998</v>
      </c>
      <c r="Z52" s="133">
        <v>1810115.1</v>
      </c>
      <c r="AA52" s="133">
        <f>AA50+AA54</f>
        <v>2581300.2152400003</v>
      </c>
      <c r="AB52" s="133">
        <v>2237538.1</v>
      </c>
      <c r="AC52" s="133">
        <f>AC50</f>
        <v>76600.800000000003</v>
      </c>
      <c r="AD52" s="133">
        <v>2473445.2719999999</v>
      </c>
      <c r="AE52" s="38">
        <f>W50-W52+W53</f>
        <v>-414138.91400000005</v>
      </c>
      <c r="AF52" s="1"/>
      <c r="BR52" s="133">
        <v>496014.30606999999</v>
      </c>
      <c r="BS52" s="133"/>
      <c r="BT52" s="133">
        <v>1602299.2</v>
      </c>
      <c r="BU52" s="133">
        <v>1858674.976</v>
      </c>
    </row>
    <row r="53" spans="1:73" ht="21.75" x14ac:dyDescent="0.2">
      <c r="A53" s="92" t="s">
        <v>118</v>
      </c>
      <c r="B53" s="131">
        <f>B54+B55+B56-3.9</f>
        <v>-6258572.1000000006</v>
      </c>
      <c r="C53" s="131">
        <f t="shared" ref="C53:L53" si="45">C54+C55+C56</f>
        <v>-9557840.9000000004</v>
      </c>
      <c r="D53" s="131">
        <f t="shared" si="45"/>
        <v>-11157848.439999999</v>
      </c>
      <c r="E53" s="131">
        <f t="shared" si="45"/>
        <v>-14576678.311000001</v>
      </c>
      <c r="F53" s="131">
        <f t="shared" si="45"/>
        <v>-16590677.620000001</v>
      </c>
      <c r="G53" s="131">
        <f t="shared" si="45"/>
        <v>-13829967.988</v>
      </c>
      <c r="H53" s="131">
        <f t="shared" si="45"/>
        <v>-11011827.225</v>
      </c>
      <c r="I53" s="131">
        <f t="shared" si="45"/>
        <v>-18114137.46353</v>
      </c>
      <c r="J53" s="131">
        <f t="shared" si="45"/>
        <v>-14739568.047</v>
      </c>
      <c r="K53" s="131">
        <f t="shared" si="45"/>
        <v>0</v>
      </c>
      <c r="L53" s="131">
        <f t="shared" si="45"/>
        <v>-7634897.3159999996</v>
      </c>
      <c r="M53" s="131">
        <f>M54+M55+M56</f>
        <v>-16633654.763769999</v>
      </c>
      <c r="N53" s="131">
        <f>N54+N55+N56</f>
        <v>-5677500</v>
      </c>
      <c r="O53" s="131">
        <f>O54+O55+O56</f>
        <v>-6608349.6289999997</v>
      </c>
      <c r="P53" s="131">
        <f>P54+P55+P56</f>
        <v>-6751669.4370000008</v>
      </c>
      <c r="Q53" s="186"/>
      <c r="R53" s="194"/>
      <c r="S53" s="128" t="s">
        <v>71</v>
      </c>
      <c r="T53" s="93">
        <f t="shared" ref="T53:Z53" si="46">T45-T49</f>
        <v>13096.1</v>
      </c>
      <c r="U53" s="93">
        <f t="shared" si="46"/>
        <v>29657.07</v>
      </c>
      <c r="V53" s="93">
        <f t="shared" si="46"/>
        <v>13230.54</v>
      </c>
      <c r="W53" s="93">
        <f t="shared" si="46"/>
        <v>-332.3269999999975</v>
      </c>
      <c r="X53" s="93">
        <f t="shared" si="46"/>
        <v>15498.77</v>
      </c>
      <c r="Y53" s="93">
        <f t="shared" si="46"/>
        <v>21073.538</v>
      </c>
      <c r="Z53" s="93">
        <f t="shared" si="46"/>
        <v>26000</v>
      </c>
      <c r="AA53" s="93">
        <f>AA50-AA51</f>
        <v>-6171.6152399997227</v>
      </c>
      <c r="AB53" s="93">
        <f t="shared" ref="AB53:BU53" si="47">AB50-AB51</f>
        <v>0</v>
      </c>
      <c r="AC53" s="93">
        <f t="shared" si="47"/>
        <v>0</v>
      </c>
      <c r="AD53" s="93">
        <f t="shared" si="47"/>
        <v>-13404.171999999788</v>
      </c>
      <c r="AE53" s="93">
        <f t="shared" si="47"/>
        <v>0</v>
      </c>
      <c r="AF53" s="93">
        <f t="shared" si="47"/>
        <v>0</v>
      </c>
      <c r="AG53" s="93">
        <f t="shared" si="47"/>
        <v>0</v>
      </c>
      <c r="AH53" s="93">
        <f t="shared" si="47"/>
        <v>0</v>
      </c>
      <c r="AI53" s="93">
        <f t="shared" si="47"/>
        <v>0</v>
      </c>
      <c r="AJ53" s="93">
        <f t="shared" si="47"/>
        <v>0</v>
      </c>
      <c r="AK53" s="93">
        <f t="shared" si="47"/>
        <v>0</v>
      </c>
      <c r="AL53" s="93">
        <f t="shared" si="47"/>
        <v>0</v>
      </c>
      <c r="AM53" s="93">
        <f t="shared" si="47"/>
        <v>0</v>
      </c>
      <c r="AN53" s="93">
        <f t="shared" si="47"/>
        <v>0</v>
      </c>
      <c r="AO53" s="93">
        <f t="shared" si="47"/>
        <v>0</v>
      </c>
      <c r="AP53" s="93">
        <f t="shared" si="47"/>
        <v>0</v>
      </c>
      <c r="AQ53" s="93">
        <f t="shared" si="47"/>
        <v>0</v>
      </c>
      <c r="AR53" s="93">
        <f t="shared" si="47"/>
        <v>0</v>
      </c>
      <c r="AS53" s="93">
        <f t="shared" si="47"/>
        <v>0</v>
      </c>
      <c r="AT53" s="93">
        <f t="shared" si="47"/>
        <v>0</v>
      </c>
      <c r="AU53" s="93">
        <f t="shared" si="47"/>
        <v>0</v>
      </c>
      <c r="AV53" s="93">
        <f t="shared" si="47"/>
        <v>0</v>
      </c>
      <c r="AW53" s="93">
        <f t="shared" si="47"/>
        <v>0</v>
      </c>
      <c r="AX53" s="93">
        <f t="shared" si="47"/>
        <v>0</v>
      </c>
      <c r="AY53" s="93">
        <f t="shared" si="47"/>
        <v>0</v>
      </c>
      <c r="AZ53" s="93">
        <f t="shared" si="47"/>
        <v>0</v>
      </c>
      <c r="BA53" s="93">
        <f t="shared" si="47"/>
        <v>0</v>
      </c>
      <c r="BB53" s="93">
        <f t="shared" si="47"/>
        <v>0</v>
      </c>
      <c r="BC53" s="93">
        <f t="shared" si="47"/>
        <v>0</v>
      </c>
      <c r="BD53" s="93">
        <f t="shared" si="47"/>
        <v>0</v>
      </c>
      <c r="BE53" s="93">
        <f t="shared" si="47"/>
        <v>0</v>
      </c>
      <c r="BF53" s="93">
        <f t="shared" si="47"/>
        <v>0</v>
      </c>
      <c r="BG53" s="93">
        <f t="shared" si="47"/>
        <v>0</v>
      </c>
      <c r="BH53" s="93">
        <f t="shared" si="47"/>
        <v>0</v>
      </c>
      <c r="BI53" s="93">
        <f t="shared" si="47"/>
        <v>0</v>
      </c>
      <c r="BJ53" s="93">
        <f t="shared" si="47"/>
        <v>0</v>
      </c>
      <c r="BK53" s="93">
        <f t="shared" si="47"/>
        <v>0</v>
      </c>
      <c r="BL53" s="93">
        <f t="shared" si="47"/>
        <v>0</v>
      </c>
      <c r="BM53" s="93">
        <f t="shared" si="47"/>
        <v>0</v>
      </c>
      <c r="BN53" s="93">
        <f t="shared" si="47"/>
        <v>0</v>
      </c>
      <c r="BO53" s="93">
        <f t="shared" si="47"/>
        <v>0</v>
      </c>
      <c r="BP53" s="93">
        <f t="shared" si="47"/>
        <v>0</v>
      </c>
      <c r="BQ53" s="93">
        <f t="shared" si="47"/>
        <v>0</v>
      </c>
      <c r="BR53" s="93">
        <f t="shared" si="47"/>
        <v>242971.60307000001</v>
      </c>
      <c r="BS53" s="93">
        <f t="shared" si="47"/>
        <v>0</v>
      </c>
      <c r="BT53" s="93">
        <f t="shared" si="47"/>
        <v>0</v>
      </c>
      <c r="BU53" s="93">
        <f t="shared" si="47"/>
        <v>-256375.77600000007</v>
      </c>
    </row>
    <row r="54" spans="1:73" ht="22.5" x14ac:dyDescent="0.25">
      <c r="A54" s="28" t="s">
        <v>75</v>
      </c>
      <c r="B54" s="32">
        <f>-1478580.9+81884.9</f>
        <v>-1396696</v>
      </c>
      <c r="C54" s="32">
        <f>-3333734.87+1478580.94-9.18</f>
        <v>-1855163.11</v>
      </c>
      <c r="D54" s="29">
        <f>1241323.82-11.23</f>
        <v>1241312.5900000001</v>
      </c>
      <c r="E54" s="29">
        <f>(2092411.046-1571191.397)-56.32</f>
        <v>521163.32899999997</v>
      </c>
      <c r="F54" s="29">
        <f>1571191.4-2550859.62+82583.25</f>
        <v>-897084.9700000002</v>
      </c>
      <c r="G54" s="29">
        <f>2550859.621-3550065.53-4859.31</f>
        <v>-1004065.219</v>
      </c>
      <c r="H54" s="29">
        <v>0</v>
      </c>
      <c r="I54" s="29">
        <v>-1694955.3592600001</v>
      </c>
      <c r="J54" s="29"/>
      <c r="K54" s="29"/>
      <c r="L54" s="29">
        <v>5171734.6579999998</v>
      </c>
      <c r="M54" s="29">
        <v>-4511430.8127499996</v>
      </c>
      <c r="N54" s="29">
        <v>0</v>
      </c>
      <c r="O54" s="29">
        <v>0</v>
      </c>
      <c r="P54" s="29">
        <v>9741297.5409999993</v>
      </c>
      <c r="Q54" s="186"/>
      <c r="R54" s="194"/>
      <c r="S54" s="28" t="s">
        <v>75</v>
      </c>
      <c r="T54" s="133">
        <v>363.1</v>
      </c>
      <c r="U54" s="133">
        <f>U52-U51</f>
        <v>0</v>
      </c>
      <c r="V54" s="133">
        <v>-225382.24</v>
      </c>
      <c r="W54" s="133">
        <v>413806.58799999999</v>
      </c>
      <c r="X54" s="133">
        <f>X50-X52-X53</f>
        <v>28588.580000000093</v>
      </c>
      <c r="Y54" s="133">
        <v>41995.133999999998</v>
      </c>
      <c r="Z54" s="133">
        <v>0</v>
      </c>
      <c r="AA54" s="133">
        <v>6171.6152400000001</v>
      </c>
      <c r="AB54" s="133"/>
      <c r="AC54" s="133"/>
      <c r="AD54" s="133">
        <v>13404.172</v>
      </c>
      <c r="AE54" s="38"/>
      <c r="AF54" s="1"/>
      <c r="AI54" s="134">
        <f>X55-X56</f>
        <v>39560.839999999851</v>
      </c>
      <c r="BR54" s="133">
        <v>-242971.60307000001</v>
      </c>
      <c r="BS54" s="133"/>
      <c r="BT54" s="133"/>
      <c r="BU54" s="133">
        <v>256375.77600000001</v>
      </c>
    </row>
    <row r="55" spans="1:73" ht="67.5" x14ac:dyDescent="0.25">
      <c r="A55" s="105" t="s">
        <v>121</v>
      </c>
      <c r="B55" s="32">
        <v>-4861872.2</v>
      </c>
      <c r="C55" s="32">
        <v>-7702677.79</v>
      </c>
      <c r="D55" s="29">
        <v>-12399161.029999999</v>
      </c>
      <c r="E55" s="29">
        <f>-15097841.64</f>
        <v>-15097841.640000001</v>
      </c>
      <c r="F55" s="29">
        <v>-15693592.65</v>
      </c>
      <c r="G55" s="29">
        <v>-12825902.768999999</v>
      </c>
      <c r="H55" s="29">
        <v>-11011827.225</v>
      </c>
      <c r="I55" s="29">
        <v>-16419182.10427</v>
      </c>
      <c r="J55" s="29">
        <v>-14739568.047</v>
      </c>
      <c r="K55" s="29"/>
      <c r="L55" s="29">
        <v>-12806631.973999999</v>
      </c>
      <c r="M55" s="29">
        <v>-12086124.83172</v>
      </c>
      <c r="N55" s="29">
        <v>-5677500</v>
      </c>
      <c r="O55" s="29">
        <v>-6608349.6289999997</v>
      </c>
      <c r="P55" s="29">
        <v>-16492966.978</v>
      </c>
      <c r="Q55" s="186"/>
      <c r="R55" s="194" t="s">
        <v>119</v>
      </c>
      <c r="S55" s="112" t="s">
        <v>120</v>
      </c>
      <c r="T55" s="25">
        <v>5026902.0999999996</v>
      </c>
      <c r="U55" s="25">
        <v>2871618.8089999999</v>
      </c>
      <c r="V55" s="25">
        <v>2650889.39</v>
      </c>
      <c r="W55" s="25">
        <v>3459456.3289999999</v>
      </c>
      <c r="X55" s="25">
        <v>3083585.47</v>
      </c>
      <c r="Y55" s="25">
        <v>1944340.4580000001</v>
      </c>
      <c r="Z55" s="25">
        <v>2172072.4</v>
      </c>
      <c r="AA55" s="25">
        <v>3516677.2332000001</v>
      </c>
      <c r="AB55" s="25">
        <f>AB56</f>
        <v>2121889.7570000002</v>
      </c>
      <c r="AC55" s="25">
        <f>111.6</f>
        <v>111.6</v>
      </c>
      <c r="AD55" s="25">
        <f>AD56</f>
        <v>2139847.8820000002</v>
      </c>
      <c r="AE55" s="1"/>
      <c r="AF55" s="1"/>
      <c r="AI55" s="134">
        <v>3044024.63</v>
      </c>
      <c r="AJ55" s="52">
        <f>X56-AI55</f>
        <v>0</v>
      </c>
      <c r="BR55" s="25">
        <v>1831974.1296699999</v>
      </c>
      <c r="BS55" s="25">
        <v>1757705.1129999999</v>
      </c>
      <c r="BT55" s="25">
        <v>1861888.12</v>
      </c>
      <c r="BU55" s="25">
        <v>1861888.12</v>
      </c>
    </row>
    <row r="56" spans="1:73" ht="43.5" x14ac:dyDescent="0.25">
      <c r="A56" s="105" t="s">
        <v>142</v>
      </c>
      <c r="B56" s="135"/>
      <c r="C56" s="135"/>
      <c r="D56" s="63"/>
      <c r="E56" s="63"/>
      <c r="F56" s="63"/>
      <c r="G56" s="136"/>
      <c r="H56" s="137"/>
      <c r="I56" s="177"/>
      <c r="J56" s="178"/>
      <c r="K56" s="178"/>
      <c r="L56" s="178"/>
      <c r="M56" s="29">
        <v>-36099.119299999998</v>
      </c>
      <c r="N56" s="178"/>
      <c r="O56" s="178"/>
      <c r="P56" s="178"/>
      <c r="Q56" s="186"/>
      <c r="R56" s="194"/>
      <c r="S56" s="118" t="s">
        <v>122</v>
      </c>
      <c r="T56" s="37">
        <f>T55-17253.1</f>
        <v>5009649</v>
      </c>
      <c r="U56" s="37">
        <v>2799625.6919999998</v>
      </c>
      <c r="V56" s="37">
        <f>2606534.68+450.47</f>
        <v>2606985.1500000004</v>
      </c>
      <c r="W56" s="37">
        <f>3396594.497-2728.82</f>
        <v>3393865.6770000001</v>
      </c>
      <c r="X56" s="37">
        <f>314984.52+X55-350963.09-3582.27</f>
        <v>3044024.6300000004</v>
      </c>
      <c r="Y56" s="37">
        <f>1039122.984+862275.895</f>
        <v>1901398.8790000002</v>
      </c>
      <c r="Z56" s="37">
        <f>Z55</f>
        <v>2172072.4</v>
      </c>
      <c r="AA56" s="37">
        <v>3511294.4797700001</v>
      </c>
      <c r="AB56" s="37">
        <v>2121889.7570000002</v>
      </c>
      <c r="AC56" s="37">
        <f>AC55</f>
        <v>111.6</v>
      </c>
      <c r="AD56" s="37">
        <v>2139847.8820000002</v>
      </c>
      <c r="AE56" s="1"/>
      <c r="AF56" s="1"/>
      <c r="BR56" s="37">
        <v>1740645.885</v>
      </c>
      <c r="BS56" s="37">
        <f>BS55</f>
        <v>1757705.1129999999</v>
      </c>
      <c r="BT56" s="37">
        <f>BT55</f>
        <v>1861888.12</v>
      </c>
      <c r="BU56" s="37">
        <f>BU55</f>
        <v>1861888.12</v>
      </c>
    </row>
    <row r="57" spans="1:73" ht="32.450000000000003" customHeight="1" x14ac:dyDescent="0.25">
      <c r="A57" s="141"/>
      <c r="B57" s="135"/>
      <c r="C57" s="135"/>
      <c r="D57" s="63"/>
      <c r="E57" s="63"/>
      <c r="F57" s="63"/>
      <c r="G57" s="136"/>
      <c r="H57" s="137"/>
      <c r="I57" s="138"/>
      <c r="J57" s="137"/>
      <c r="K57" s="137"/>
      <c r="L57" s="137"/>
      <c r="M57" s="137"/>
      <c r="N57" s="137"/>
      <c r="O57" s="137"/>
      <c r="P57" s="137"/>
      <c r="Q57" s="186"/>
      <c r="R57" s="194" t="s">
        <v>123</v>
      </c>
      <c r="S57" s="112" t="s">
        <v>124</v>
      </c>
      <c r="T57" s="139"/>
      <c r="U57" s="139"/>
      <c r="V57" s="140">
        <v>651676</v>
      </c>
      <c r="W57" s="140">
        <v>729557.66899999999</v>
      </c>
      <c r="X57" s="140">
        <v>0</v>
      </c>
      <c r="Y57" s="140">
        <v>0</v>
      </c>
      <c r="Z57" s="140">
        <v>0</v>
      </c>
      <c r="AA57" s="140">
        <v>987777.09897000005</v>
      </c>
      <c r="AB57" s="140">
        <v>0</v>
      </c>
      <c r="AC57" s="140"/>
      <c r="AD57" s="140">
        <f t="shared" si="2"/>
        <v>0</v>
      </c>
      <c r="AE57" s="1"/>
      <c r="AF57" s="1"/>
      <c r="AI57" s="38"/>
      <c r="AK57" s="52"/>
      <c r="AL57" s="52"/>
      <c r="AT57" s="52"/>
      <c r="BR57" s="140">
        <v>0</v>
      </c>
      <c r="BS57" s="140">
        <v>0</v>
      </c>
      <c r="BT57" s="140">
        <v>0</v>
      </c>
      <c r="BU57" s="140">
        <v>0</v>
      </c>
    </row>
    <row r="58" spans="1:73" ht="42" customHeight="1" x14ac:dyDescent="0.25">
      <c r="A58" s="141"/>
      <c r="B58" s="135"/>
      <c r="C58" s="135"/>
      <c r="D58" s="63"/>
      <c r="E58" s="63"/>
      <c r="F58" s="63"/>
      <c r="G58" s="136"/>
      <c r="H58" s="137"/>
      <c r="I58" s="138"/>
      <c r="J58" s="137"/>
      <c r="K58" s="137"/>
      <c r="L58" s="137"/>
      <c r="M58" s="137"/>
      <c r="N58" s="137"/>
      <c r="O58" s="137"/>
      <c r="P58" s="137"/>
      <c r="Q58" s="186"/>
      <c r="R58" s="194"/>
      <c r="S58" s="142" t="s">
        <v>125</v>
      </c>
      <c r="T58" s="97"/>
      <c r="U58" s="97"/>
      <c r="V58" s="97">
        <f>V57</f>
        <v>651676</v>
      </c>
      <c r="W58" s="97">
        <f>W57</f>
        <v>729557.66899999999</v>
      </c>
      <c r="X58" s="97">
        <f>X57</f>
        <v>0</v>
      </c>
      <c r="Y58" s="97">
        <v>0</v>
      </c>
      <c r="Z58" s="97">
        <v>0</v>
      </c>
      <c r="AA58" s="97">
        <f>AA57</f>
        <v>987777.09897000005</v>
      </c>
      <c r="AB58" s="97">
        <v>0</v>
      </c>
      <c r="AC58" s="97"/>
      <c r="AD58" s="97">
        <f t="shared" si="2"/>
        <v>0</v>
      </c>
      <c r="AE58" s="1"/>
      <c r="AF58" s="1"/>
      <c r="AI58" s="38">
        <v>5318312.3099999996</v>
      </c>
      <c r="AJ58" t="s">
        <v>126</v>
      </c>
      <c r="AK58" s="52">
        <f>X61-AI58</f>
        <v>0</v>
      </c>
      <c r="AL58" s="52"/>
      <c r="AT58" s="52"/>
      <c r="BR58" s="97">
        <v>0</v>
      </c>
      <c r="BS58" s="97">
        <v>0</v>
      </c>
      <c r="BT58" s="97">
        <v>0</v>
      </c>
      <c r="BU58" s="97">
        <v>0</v>
      </c>
    </row>
    <row r="59" spans="1:73" ht="37.9" customHeight="1" x14ac:dyDescent="0.25">
      <c r="A59" s="141"/>
      <c r="B59" s="135"/>
      <c r="C59" s="135"/>
      <c r="D59" s="63"/>
      <c r="E59" s="63"/>
      <c r="F59" s="63"/>
      <c r="G59" s="136"/>
      <c r="H59" s="137"/>
      <c r="I59" s="138"/>
      <c r="J59" s="137"/>
      <c r="K59" s="137"/>
      <c r="L59" s="137"/>
      <c r="M59" s="137"/>
      <c r="N59" s="137"/>
      <c r="O59" s="137"/>
      <c r="P59" s="137"/>
      <c r="Q59" s="186"/>
      <c r="R59" s="195" t="s">
        <v>137</v>
      </c>
      <c r="S59" s="112" t="s">
        <v>135</v>
      </c>
      <c r="T59" s="139"/>
      <c r="U59" s="139"/>
      <c r="V59" s="140"/>
      <c r="W59" s="140"/>
      <c r="X59" s="140"/>
      <c r="Y59" s="140"/>
      <c r="Z59" s="140"/>
      <c r="AA59" s="140"/>
      <c r="AB59" s="140"/>
      <c r="AC59" s="140"/>
      <c r="AD59" s="140"/>
      <c r="AE59" s="1"/>
      <c r="AF59" s="1"/>
      <c r="AI59" s="38"/>
      <c r="AK59" s="52"/>
      <c r="AL59" s="52"/>
      <c r="AT59" s="52"/>
      <c r="BR59" s="140">
        <v>129202.212</v>
      </c>
      <c r="BS59" s="140"/>
      <c r="BT59" s="140"/>
      <c r="BU59" s="140">
        <v>19280.465</v>
      </c>
    </row>
    <row r="60" spans="1:73" ht="65.25" x14ac:dyDescent="0.25">
      <c r="A60" s="141"/>
      <c r="B60" s="135"/>
      <c r="C60" s="135"/>
      <c r="D60" s="63"/>
      <c r="E60" s="63"/>
      <c r="F60" s="63"/>
      <c r="G60" s="136"/>
      <c r="H60" s="143"/>
      <c r="I60" s="144"/>
      <c r="J60" s="143"/>
      <c r="K60" s="143"/>
      <c r="L60" s="143"/>
      <c r="M60" s="143"/>
      <c r="N60" s="143"/>
      <c r="O60" s="143"/>
      <c r="P60" s="143"/>
      <c r="Q60" s="186"/>
      <c r="R60" s="196"/>
      <c r="S60" s="118" t="s">
        <v>136</v>
      </c>
      <c r="T60" s="97"/>
      <c r="U60" s="97"/>
      <c r="V60" s="97"/>
      <c r="W60" s="97"/>
      <c r="X60" s="97"/>
      <c r="Y60" s="97"/>
      <c r="Z60" s="97"/>
      <c r="AA60" s="97"/>
      <c r="AB60" s="97"/>
      <c r="AC60" s="97"/>
      <c r="AD60" s="97"/>
      <c r="AE60" s="1"/>
      <c r="AF60" s="1"/>
      <c r="AI60" s="38"/>
      <c r="AK60" s="52"/>
      <c r="AL60" s="52"/>
      <c r="AT60" s="52"/>
      <c r="BR60" s="97">
        <v>0</v>
      </c>
      <c r="BS60" s="97"/>
      <c r="BT60" s="97"/>
      <c r="BU60" s="97">
        <f>19496.412+19280.465</f>
        <v>38776.877</v>
      </c>
    </row>
    <row r="61" spans="1:73" ht="28.15" customHeight="1" x14ac:dyDescent="0.25">
      <c r="A61" s="146"/>
      <c r="B61" s="147"/>
      <c r="C61" s="148"/>
      <c r="D61" s="63"/>
      <c r="E61" s="63"/>
      <c r="F61" s="63"/>
      <c r="G61" s="136"/>
      <c r="H61" s="38"/>
      <c r="I61" s="69"/>
      <c r="J61" s="38"/>
      <c r="K61" s="38"/>
      <c r="L61" s="38"/>
      <c r="M61" s="38"/>
      <c r="N61" s="38"/>
      <c r="O61" s="38"/>
      <c r="P61" s="38"/>
      <c r="Q61" s="186"/>
      <c r="R61" s="195"/>
      <c r="S61" s="145" t="s">
        <v>127</v>
      </c>
      <c r="T61" s="140">
        <f>T4+T27+T39+T50+T55+38.7</f>
        <v>5995197.3959799996</v>
      </c>
      <c r="U61" s="140">
        <f>U4+U27+U39+U50+U55+119.054-0.03</f>
        <v>4558751.9319999991</v>
      </c>
      <c r="V61" s="140">
        <f>V4+V27+V39+V50+V55+V57+149.01</f>
        <v>5759291.8560000006</v>
      </c>
      <c r="W61" s="140">
        <f>W4+W27+W39+W50+W55+W57+0.025+28.778+300.157-33.972+0.01</f>
        <v>6683126.0689999992</v>
      </c>
      <c r="X61" s="140">
        <f>X4+X27+X39+X50+X55+X57-279.2+18.1+0.01</f>
        <v>5318312.3099999996</v>
      </c>
      <c r="Y61" s="140">
        <f>Y4+Y27+Y39+Y50+Y55+Y57</f>
        <v>4998055.2180000003</v>
      </c>
      <c r="Z61" s="140">
        <f>Z4+Z27+Z39+Z50+Z55+Z57</f>
        <v>5463407.5</v>
      </c>
      <c r="AA61" s="140">
        <f>AA4+AA27+AA39+AA50+AA55+AA57+17.70622+11647.76</f>
        <v>8035001.3861600002</v>
      </c>
      <c r="AB61" s="140">
        <f>AB4+AB27+AB39+AB50+AB55+AB57</f>
        <v>6253031.8570000008</v>
      </c>
      <c r="AC61" s="140">
        <f>AC4+AC27+AC39+AC50+AC55+AC57</f>
        <v>76712.400000000009</v>
      </c>
      <c r="AD61" s="140">
        <f>AD4+AD27+AD39+AD50+AD55+AD57</f>
        <v>6435786.9700000007</v>
      </c>
      <c r="AE61" s="1"/>
      <c r="AF61" s="1"/>
      <c r="AI61" s="38">
        <f>21007753.53+27865.64</f>
        <v>21035619.170000002</v>
      </c>
      <c r="AJ61" t="s">
        <v>128</v>
      </c>
      <c r="AK61" s="52">
        <f>AI61-X62</f>
        <v>-9.9999979138374329E-3</v>
      </c>
      <c r="AL61" s="52"/>
      <c r="AT61" s="52"/>
      <c r="BG61" s="52">
        <f>15897926.725-AB62</f>
        <v>-2793370.8950000014</v>
      </c>
      <c r="BH61" s="52">
        <f>BG61+AB50</f>
        <v>-555832.79500000132</v>
      </c>
      <c r="BI61" s="52"/>
      <c r="BJ61" s="52"/>
      <c r="BK61" s="52"/>
      <c r="BL61" s="52"/>
      <c r="BM61" s="52"/>
      <c r="BR61" s="140">
        <f>BR4+BR27+BR39+BR50+BR55+BR57+BR59+8.3771</f>
        <v>3205890.2344999998</v>
      </c>
      <c r="BS61" s="140">
        <f>BS4+BS27+BS39+BS50+BS55+BS57</f>
        <v>1882955.1129999999</v>
      </c>
      <c r="BT61" s="140">
        <f>BT4+BT27+BT39+BT50+BT55+BT57</f>
        <v>3789437.3200000003</v>
      </c>
      <c r="BU61" s="140">
        <f>BU4+BU27+BU39+BU50+BU55+BU57+BU59</f>
        <v>4809717.7850000001</v>
      </c>
    </row>
    <row r="62" spans="1:73" ht="28.15" customHeight="1" x14ac:dyDescent="0.25">
      <c r="A62" s="187"/>
      <c r="B62" s="187"/>
      <c r="C62" s="187"/>
      <c r="D62" s="187"/>
      <c r="E62" s="187"/>
      <c r="F62" s="180"/>
      <c r="G62" s="150"/>
      <c r="H62" s="143"/>
      <c r="I62" s="144"/>
      <c r="J62" s="143"/>
      <c r="K62" s="143"/>
      <c r="L62" s="143"/>
      <c r="M62" s="143"/>
      <c r="N62" s="143"/>
      <c r="O62" s="143"/>
      <c r="P62" s="143"/>
      <c r="Q62" s="186"/>
      <c r="R62" s="197"/>
      <c r="S62" s="149" t="s">
        <v>129</v>
      </c>
      <c r="T62" s="97">
        <f>T8+T33+T43+T51+T56</f>
        <v>8609845.5999999996</v>
      </c>
      <c r="U62" s="97">
        <f>U8+U33+U43+U51+U56+453.536</f>
        <v>10917534.300500002</v>
      </c>
      <c r="V62" s="97">
        <f>V8+V33+V43+V51+V56+V58</f>
        <v>17672852.82</v>
      </c>
      <c r="W62" s="97">
        <f>W8+W33+W43+W51+W56+W58+8046.266-2294.738</f>
        <v>22330384.369999997</v>
      </c>
      <c r="X62" s="97">
        <f>X8+X33+X43+X51+X56+X58+85.43+1106.73+0.01</f>
        <v>21035619.18</v>
      </c>
      <c r="Y62" s="97">
        <f>Y8+Y33+Y43+Y51+Y56+Y58+600+2572.097+504.73</f>
        <v>18568064.548999999</v>
      </c>
      <c r="Z62" s="97">
        <f>Z8+Z33+Z43+Z51+Z56+Z58+300</f>
        <v>13801093.125</v>
      </c>
      <c r="AA62" s="97">
        <f>AA8+AA33+AA43+AA51+AA56+AA58+3795.91578+11647.76+3915.88594</f>
        <v>24294057.991540004</v>
      </c>
      <c r="AB62" s="97">
        <f>AB8+AB33+AB43+AB51+AB56+AB58+240</f>
        <v>18691297.620000001</v>
      </c>
      <c r="AC62" s="97">
        <f>AC8+AC33+AC43+AC51+AC56+AC58</f>
        <v>-16973.905000000166</v>
      </c>
      <c r="AD62" s="97">
        <f>AD8+AD33+AD43+AD51+AD56+AD58+240</f>
        <v>17503753.473000001</v>
      </c>
      <c r="AE62" s="1"/>
      <c r="AF62" s="1"/>
      <c r="BR62" s="97">
        <f>BR8+BR33+BR43+BR51+BR56+BR58+BR60+1707.6248</f>
        <v>12018375.589559998</v>
      </c>
      <c r="BS62" s="97">
        <f>BS8+BS33+BS43+BS51+BS56+BS58+240</f>
        <v>7303195.1129999999</v>
      </c>
      <c r="BT62" s="97">
        <f>BT8+BT33+BT43+BT51+BT56+BT58+180</f>
        <v>9763794.9409999996</v>
      </c>
      <c r="BU62" s="97">
        <f>BU8+BU33+BU43+BU51+BU56+BU58+BU60+180+4762.432</f>
        <v>25901764.6743</v>
      </c>
    </row>
    <row r="63" spans="1:73" ht="22.5" x14ac:dyDescent="0.25">
      <c r="A63" s="180"/>
      <c r="B63" s="180"/>
      <c r="C63" s="180"/>
      <c r="D63" s="180"/>
      <c r="E63" s="180"/>
      <c r="F63" s="180"/>
      <c r="G63" s="150"/>
      <c r="H63" s="143"/>
      <c r="I63" s="144"/>
      <c r="J63" s="143"/>
      <c r="K63" s="143"/>
      <c r="L63" s="143"/>
      <c r="M63" s="143"/>
      <c r="N63" s="143"/>
      <c r="O63" s="143"/>
      <c r="P63" s="143"/>
      <c r="Q63" s="186"/>
      <c r="R63" s="197"/>
      <c r="S63" s="151" t="s">
        <v>115</v>
      </c>
      <c r="T63" s="131">
        <f t="shared" ref="T63:Z63" si="48">T61-T62</f>
        <v>-2614648.2040200001</v>
      </c>
      <c r="U63" s="131">
        <f t="shared" si="48"/>
        <v>-6358782.3685000027</v>
      </c>
      <c r="V63" s="131">
        <f t="shared" si="48"/>
        <v>-11913560.964</v>
      </c>
      <c r="W63" s="131">
        <f t="shared" si="48"/>
        <v>-15647258.300999999</v>
      </c>
      <c r="X63" s="131">
        <f t="shared" si="48"/>
        <v>-15717306.870000001</v>
      </c>
      <c r="Y63" s="131">
        <f t="shared" si="48"/>
        <v>-13570009.330999998</v>
      </c>
      <c r="Z63" s="131">
        <f t="shared" si="48"/>
        <v>-8337685.625</v>
      </c>
      <c r="AA63" s="131">
        <f>AA61-AA62</f>
        <v>-16259056.605380002</v>
      </c>
      <c r="AB63" s="131">
        <f>AB61-AB62+360000</f>
        <v>-12078265.763</v>
      </c>
      <c r="AC63" s="131">
        <f t="shared" ref="AC63" si="49">AC61-AC62+360000</f>
        <v>453686.30500000017</v>
      </c>
      <c r="AD63" s="131">
        <f>AD61-AD62</f>
        <v>-11067966.503</v>
      </c>
      <c r="AE63" s="1"/>
      <c r="AF63" s="1"/>
      <c r="BR63" s="131">
        <f>BR61-BR62</f>
        <v>-8812485.3550599981</v>
      </c>
      <c r="BS63" s="131">
        <f>BS61-BS62</f>
        <v>-5420240</v>
      </c>
      <c r="BT63" s="131">
        <f>BT61-BT62</f>
        <v>-5974357.6209999993</v>
      </c>
      <c r="BU63" s="131">
        <f>BU61-BU62</f>
        <v>-21092046.8893</v>
      </c>
    </row>
    <row r="64" spans="1:73" ht="22.5" x14ac:dyDescent="0.25">
      <c r="A64" s="152"/>
      <c r="B64" s="153"/>
      <c r="C64" s="154"/>
      <c r="D64" s="63"/>
      <c r="E64" s="63"/>
      <c r="F64" s="63"/>
      <c r="G64" s="136"/>
      <c r="H64" s="12"/>
      <c r="I64" s="14"/>
      <c r="J64" s="12"/>
      <c r="K64" s="12"/>
      <c r="L64" s="12"/>
      <c r="M64" s="12"/>
      <c r="N64" s="12"/>
      <c r="O64" s="12"/>
      <c r="P64" s="12"/>
      <c r="Q64" s="186"/>
      <c r="R64" s="197"/>
      <c r="S64" s="151" t="s">
        <v>117</v>
      </c>
      <c r="T64" s="131"/>
      <c r="U64" s="131"/>
      <c r="V64" s="131"/>
      <c r="W64" s="131"/>
      <c r="X64" s="131"/>
      <c r="Y64" s="131">
        <v>12805.323</v>
      </c>
      <c r="Z64" s="131">
        <v>300</v>
      </c>
      <c r="AA64" s="131">
        <v>1945.5718400000001</v>
      </c>
      <c r="AB64" s="131">
        <v>240</v>
      </c>
      <c r="AC64" s="131"/>
      <c r="AD64" s="131">
        <f t="shared" si="2"/>
        <v>240</v>
      </c>
      <c r="AE64" s="103">
        <v>615008.326</v>
      </c>
      <c r="AF64" s="1" t="s">
        <v>130</v>
      </c>
      <c r="BR64" s="131">
        <v>1457.1804199999999</v>
      </c>
      <c r="BS64" s="131">
        <v>240</v>
      </c>
      <c r="BT64" s="131">
        <v>180</v>
      </c>
      <c r="BU64" s="131">
        <v>180</v>
      </c>
    </row>
    <row r="65" spans="1:73" ht="22.5" x14ac:dyDescent="0.25">
      <c r="A65" s="156"/>
      <c r="B65" s="156"/>
      <c r="C65" s="154"/>
      <c r="D65" s="63"/>
      <c r="E65" s="63"/>
      <c r="F65" s="63"/>
      <c r="G65" s="136"/>
      <c r="H65" s="12"/>
      <c r="I65" s="14"/>
      <c r="J65" s="12"/>
      <c r="K65" s="12"/>
      <c r="L65" s="12"/>
      <c r="M65" s="12"/>
      <c r="N65" s="12"/>
      <c r="O65" s="12"/>
      <c r="P65" s="12"/>
      <c r="Q65" s="186"/>
      <c r="R65" s="197"/>
      <c r="S65" s="151" t="s">
        <v>118</v>
      </c>
      <c r="T65" s="131">
        <f>T66+T67+T68</f>
        <v>2627744.2999999998</v>
      </c>
      <c r="U65" s="131">
        <f>U66+U67+U68</f>
        <v>6388439.443</v>
      </c>
      <c r="V65" s="131">
        <f>V66+V67+V68</f>
        <v>11926791.5</v>
      </c>
      <c r="W65" s="131">
        <f>W66+W67+W68</f>
        <v>15646925.968</v>
      </c>
      <c r="X65" s="131">
        <f>X66+X67+X68+0.01</f>
        <v>15717306.870000001</v>
      </c>
      <c r="Y65" s="155">
        <f t="shared" ref="Y65:AD65" si="50">Y66+Y67+Y68</f>
        <v>13557204.006999999</v>
      </c>
      <c r="Z65" s="131">
        <f t="shared" si="50"/>
        <v>8337385.625</v>
      </c>
      <c r="AA65" s="131">
        <f>AA66+AA67+AA68+AA69</f>
        <v>16257111.033540001</v>
      </c>
      <c r="AB65" s="131">
        <f t="shared" si="50"/>
        <v>12078025.763</v>
      </c>
      <c r="AC65" s="131">
        <f t="shared" si="50"/>
        <v>678361.59600000002</v>
      </c>
      <c r="AD65" s="131">
        <f t="shared" si="50"/>
        <v>11057726.502999999</v>
      </c>
      <c r="AE65" s="38">
        <f>W66-AE64</f>
        <v>-65923.998000000021</v>
      </c>
      <c r="AF65" s="1"/>
      <c r="AI65" s="52">
        <f>X23+X38+X49+X54+X55-X56-90156.98</f>
        <v>83901.589999999836</v>
      </c>
      <c r="AJ65" s="52">
        <f>X66-AI65</f>
        <v>-60187.37999999983</v>
      </c>
      <c r="AK65" t="s">
        <v>130</v>
      </c>
      <c r="AL65" t="s">
        <v>130</v>
      </c>
      <c r="BR65" s="131">
        <f>BR66+BR67+BR68+BR69</f>
        <v>8811028.1750500016</v>
      </c>
      <c r="BS65" s="131">
        <f t="shared" ref="BS65:BU65" si="51">BS66+BS67+BS68</f>
        <v>5420000</v>
      </c>
      <c r="BT65" s="131">
        <f t="shared" si="51"/>
        <v>5974177.6209999993</v>
      </c>
      <c r="BU65" s="131">
        <f t="shared" si="51"/>
        <v>21091866.888999999</v>
      </c>
    </row>
    <row r="66" spans="1:73" ht="40.15" customHeight="1" x14ac:dyDescent="0.25">
      <c r="A66" s="157" t="s">
        <v>131</v>
      </c>
      <c r="B66" s="25">
        <f t="shared" ref="B66:J66" si="52">B4+T61</f>
        <v>31653961.895980004</v>
      </c>
      <c r="C66" s="25">
        <f t="shared" si="52"/>
        <v>38687164.431999996</v>
      </c>
      <c r="D66" s="25">
        <f t="shared" si="52"/>
        <v>48765105.906000003</v>
      </c>
      <c r="E66" s="25">
        <f t="shared" si="52"/>
        <v>57130912.461000003</v>
      </c>
      <c r="F66" s="25">
        <f t="shared" si="52"/>
        <v>62219576.340000004</v>
      </c>
      <c r="G66" s="25">
        <f t="shared" si="52"/>
        <v>58121754.123000003</v>
      </c>
      <c r="H66" s="25">
        <f t="shared" si="52"/>
        <v>60391952.299999997</v>
      </c>
      <c r="I66" s="25">
        <f t="shared" si="52"/>
        <v>71255169.988969997</v>
      </c>
      <c r="J66" s="25">
        <f t="shared" si="52"/>
        <v>65546451.357000001</v>
      </c>
      <c r="K66" s="25">
        <f>K4+AE58</f>
        <v>2573475.1</v>
      </c>
      <c r="L66" s="25">
        <f>L4+AD61</f>
        <v>68795148.710000008</v>
      </c>
      <c r="M66" s="25">
        <f>M4+BR61</f>
        <v>68332257.459110007</v>
      </c>
      <c r="N66" s="25">
        <f>N4+BS61</f>
        <v>58208190.112999998</v>
      </c>
      <c r="O66" s="25">
        <f>O4+BT61</f>
        <v>65133372.119999997</v>
      </c>
      <c r="P66" s="25">
        <f>P4+BU61</f>
        <v>66382431.584999993</v>
      </c>
      <c r="Q66" s="186"/>
      <c r="R66" s="197"/>
      <c r="S66" s="28" t="s">
        <v>75</v>
      </c>
      <c r="T66" s="32">
        <f>T23+T38+T49+T53+2503</f>
        <v>67209.100000000006</v>
      </c>
      <c r="U66" s="32">
        <f>U23+U38+U49+U53-(U55-U56)+334.48-207222.11-2172.72</f>
        <v>-365575.34700000001</v>
      </c>
      <c r="V66" s="32">
        <f>V23+V38+V49+V53-1954.27+42549.45-267932.69-42097.98</f>
        <v>-472369.52999999997</v>
      </c>
      <c r="W66" s="32">
        <f>W23+W38+W49+W53-266.185+5722.738-0.01-65590.664+402813.58+10993</f>
        <v>549084.32799999998</v>
      </c>
      <c r="X66" s="32">
        <f>113871.19-90156.98</f>
        <v>23714.210000000006</v>
      </c>
      <c r="Y66" s="32">
        <f>521823.381-533594.246-(20371.498+6556.399)</f>
        <v>-38698.762000000046</v>
      </c>
      <c r="Z66" s="32">
        <f>Z23+Z38+Z49+Z54</f>
        <v>0</v>
      </c>
      <c r="AA66" s="32">
        <f>AA23+AA38+AA49+AA54+1832.63772-2874.2405</f>
        <v>-169909.71550999995</v>
      </c>
      <c r="AB66" s="32">
        <f>AB23+AB38+AB49+AB54</f>
        <v>0</v>
      </c>
      <c r="AC66" s="32">
        <f>AC23+AC38+AC49+AC54</f>
        <v>0</v>
      </c>
      <c r="AD66" s="32">
        <f>AD23+AD38+AD49+AD54</f>
        <v>234275.21299999999</v>
      </c>
      <c r="AE66" s="1"/>
      <c r="AF66" s="1"/>
      <c r="BR66" s="32">
        <v>-1420146.7716899998</v>
      </c>
      <c r="BS66" s="32">
        <v>0</v>
      </c>
      <c r="BT66" s="32">
        <v>0</v>
      </c>
      <c r="BU66" s="32">
        <f>BU23+BU38+BU49+BU54+19496.412+4762.432</f>
        <v>1658468.5530000001</v>
      </c>
    </row>
    <row r="67" spans="1:73" ht="42" customHeight="1" x14ac:dyDescent="0.25">
      <c r="A67" s="36" t="s">
        <v>132</v>
      </c>
      <c r="B67" s="97">
        <f>B22+T62</f>
        <v>28010037.999999993</v>
      </c>
      <c r="C67" s="97">
        <f>C22+U62</f>
        <v>33572852.9005</v>
      </c>
      <c r="D67" s="97">
        <f>D22+V62</f>
        <v>49520818.429000005</v>
      </c>
      <c r="E67" s="97">
        <f>E22+W62</f>
        <v>58201492.45099999</v>
      </c>
      <c r="F67" s="97">
        <f>F22-F52+X62</f>
        <v>61346205.589999989</v>
      </c>
      <c r="G67" s="97">
        <f>G22-G52+Y62-Y64</f>
        <v>57848990.145999998</v>
      </c>
      <c r="H67" s="97">
        <f>H22-H52+Z62</f>
        <v>57717810.699999996</v>
      </c>
      <c r="I67" s="97">
        <f>I22+AA62</f>
        <v>69447735.319750011</v>
      </c>
      <c r="J67" s="158">
        <f>J22+AB62</f>
        <v>65679177.357999995</v>
      </c>
      <c r="K67" s="158">
        <f>K22+AE61</f>
        <v>556503.22300000011</v>
      </c>
      <c r="L67" s="97">
        <f>L22+AD62</f>
        <v>72246496.404999986</v>
      </c>
      <c r="M67" s="97">
        <f>M22+BR62</f>
        <v>59595317.415749997</v>
      </c>
      <c r="N67" s="97">
        <f>N22+BS62-240</f>
        <v>57562580.581999995</v>
      </c>
      <c r="O67" s="97">
        <f>O22+BT62</f>
        <v>64432611.846999995</v>
      </c>
      <c r="P67" s="97">
        <f>P22+BU62</f>
        <v>80980295.45629999</v>
      </c>
      <c r="Q67" s="186"/>
      <c r="R67" s="197"/>
      <c r="S67" s="113" t="s">
        <v>121</v>
      </c>
      <c r="T67" s="29">
        <f t="shared" ref="T67:AD68" si="53">T24</f>
        <v>4861872.2</v>
      </c>
      <c r="U67" s="29">
        <f t="shared" si="53"/>
        <v>7702677.79</v>
      </c>
      <c r="V67" s="29">
        <f t="shared" si="53"/>
        <v>12399161.029999999</v>
      </c>
      <c r="W67" s="29">
        <f t="shared" si="53"/>
        <v>15097841.640000001</v>
      </c>
      <c r="X67" s="29">
        <f t="shared" si="53"/>
        <v>15693592.65</v>
      </c>
      <c r="Y67" s="29">
        <f t="shared" si="53"/>
        <v>12825902.768999999</v>
      </c>
      <c r="Z67" s="29">
        <f t="shared" si="53"/>
        <v>11011827.225</v>
      </c>
      <c r="AA67" s="29">
        <f t="shared" si="53"/>
        <v>16419182.10427</v>
      </c>
      <c r="AB67" s="29">
        <f t="shared" si="53"/>
        <v>14739568.047</v>
      </c>
      <c r="AC67" s="29">
        <f t="shared" si="53"/>
        <v>0</v>
      </c>
      <c r="AD67" s="29">
        <f t="shared" si="53"/>
        <v>12806631.973999999</v>
      </c>
      <c r="AE67" s="1"/>
      <c r="AF67" s="1"/>
      <c r="BR67" s="29">
        <v>12086124.83172</v>
      </c>
      <c r="BS67" s="29">
        <f t="shared" ref="BS67:BU68" si="54">BS24</f>
        <v>5677500</v>
      </c>
      <c r="BT67" s="29">
        <f t="shared" si="54"/>
        <v>6608349.6289999997</v>
      </c>
      <c r="BU67" s="29">
        <f t="shared" si="54"/>
        <v>16492966.978</v>
      </c>
    </row>
    <row r="68" spans="1:73" ht="22.5" x14ac:dyDescent="0.25">
      <c r="A68" s="152"/>
      <c r="B68" s="159"/>
      <c r="C68" s="159"/>
      <c r="D68" s="159"/>
      <c r="E68" s="159"/>
      <c r="F68" s="159"/>
      <c r="G68" s="160"/>
      <c r="H68" s="12"/>
      <c r="I68" s="14"/>
      <c r="J68" s="161">
        <f>J66-J67</f>
        <v>-132726.00099999458</v>
      </c>
      <c r="K68" s="161"/>
      <c r="L68" s="161"/>
      <c r="M68" s="161"/>
      <c r="N68" s="161"/>
      <c r="O68" s="161"/>
      <c r="P68" s="161"/>
      <c r="Q68" s="152"/>
      <c r="R68" s="197"/>
      <c r="S68" s="105" t="str">
        <f>S25</f>
        <v>Фінансування за рахунок позик банківських установ</v>
      </c>
      <c r="T68" s="29">
        <f t="shared" si="53"/>
        <v>-2301337</v>
      </c>
      <c r="U68" s="29">
        <f t="shared" si="53"/>
        <v>-948663</v>
      </c>
      <c r="V68" s="29">
        <f t="shared" si="53"/>
        <v>0</v>
      </c>
      <c r="W68" s="29">
        <f t="shared" si="53"/>
        <v>0</v>
      </c>
      <c r="X68" s="29">
        <f t="shared" si="53"/>
        <v>0</v>
      </c>
      <c r="Y68" s="29">
        <f t="shared" si="53"/>
        <v>770000</v>
      </c>
      <c r="Z68" s="29">
        <f t="shared" si="53"/>
        <v>-2674441.6</v>
      </c>
      <c r="AA68" s="29">
        <f t="shared" si="53"/>
        <v>6431.2717700000003</v>
      </c>
      <c r="AB68" s="29">
        <f t="shared" si="53"/>
        <v>-2661542.284</v>
      </c>
      <c r="AC68" s="29">
        <f t="shared" si="53"/>
        <v>678361.59600000002</v>
      </c>
      <c r="AD68" s="29">
        <f t="shared" si="53"/>
        <v>-1983180.6839999999</v>
      </c>
      <c r="AE68" s="1"/>
      <c r="AF68" s="1"/>
      <c r="BR68" s="29">
        <v>-1902025.088</v>
      </c>
      <c r="BS68" s="29">
        <f t="shared" si="54"/>
        <v>-257500</v>
      </c>
      <c r="BT68" s="29">
        <f t="shared" si="54"/>
        <v>-634172.00800000003</v>
      </c>
      <c r="BU68" s="29">
        <f t="shared" si="54"/>
        <v>2940431.358</v>
      </c>
    </row>
    <row r="69" spans="1:73" ht="30" customHeight="1" x14ac:dyDescent="0.25">
      <c r="A69" s="152"/>
      <c r="B69" s="159"/>
      <c r="C69" s="159"/>
      <c r="D69" s="159"/>
      <c r="E69" s="159"/>
      <c r="F69" s="159"/>
      <c r="G69" s="160"/>
      <c r="H69" s="12"/>
      <c r="I69" s="14"/>
      <c r="J69" s="161"/>
      <c r="K69" s="161"/>
      <c r="L69" s="161"/>
      <c r="M69" s="161"/>
      <c r="N69" s="161"/>
      <c r="O69" s="161"/>
      <c r="P69" s="161"/>
      <c r="Q69" s="152"/>
      <c r="R69" s="196"/>
      <c r="S69" s="105" t="s">
        <v>142</v>
      </c>
      <c r="T69" s="29"/>
      <c r="U69" s="29"/>
      <c r="V69" s="29"/>
      <c r="W69" s="29"/>
      <c r="X69" s="29"/>
      <c r="Y69" s="29"/>
      <c r="Z69" s="29"/>
      <c r="AA69" s="29">
        <f>(3915.88594-2508.51293)</f>
        <v>1407.3730100000002</v>
      </c>
      <c r="AB69" s="29"/>
      <c r="AC69" s="29"/>
      <c r="AD69" s="29"/>
      <c r="AE69" s="1"/>
      <c r="AF69" s="1"/>
      <c r="BR69" s="29">
        <v>47075.203020000001</v>
      </c>
      <c r="BS69" s="29"/>
      <c r="BT69" s="29"/>
      <c r="BU69" s="29"/>
    </row>
    <row r="70" spans="1:73" ht="24" customHeight="1" x14ac:dyDescent="0.25">
      <c r="A70" s="152"/>
      <c r="B70" s="165"/>
      <c r="C70" s="154"/>
      <c r="D70" s="63"/>
      <c r="E70" s="63"/>
      <c r="F70" s="63"/>
      <c r="G70" s="136"/>
      <c r="H70" s="166"/>
      <c r="I70" s="167"/>
      <c r="J70" s="166"/>
      <c r="K70" s="166"/>
      <c r="L70" s="175"/>
      <c r="M70" s="175"/>
      <c r="N70" s="166"/>
      <c r="O70" s="166"/>
      <c r="P70" s="166"/>
      <c r="Q70" s="152"/>
      <c r="R70" s="162"/>
      <c r="S70" s="163" t="s">
        <v>133</v>
      </c>
      <c r="T70" s="164">
        <f t="shared" ref="T70:AC70" si="55">T62</f>
        <v>8609845.5999999996</v>
      </c>
      <c r="U70" s="164">
        <f t="shared" si="55"/>
        <v>10917534.300500002</v>
      </c>
      <c r="V70" s="164">
        <f t="shared" si="55"/>
        <v>17672852.82</v>
      </c>
      <c r="W70" s="164">
        <f t="shared" si="55"/>
        <v>22330384.369999997</v>
      </c>
      <c r="X70" s="164">
        <f t="shared" si="55"/>
        <v>21035619.18</v>
      </c>
      <c r="Y70" s="164">
        <f t="shared" si="55"/>
        <v>18568064.548999999</v>
      </c>
      <c r="Z70" s="164">
        <f t="shared" si="55"/>
        <v>13801093.125</v>
      </c>
      <c r="AA70" s="164">
        <f t="shared" si="55"/>
        <v>24294057.991540004</v>
      </c>
      <c r="AB70" s="164">
        <f t="shared" si="55"/>
        <v>18691297.620000001</v>
      </c>
      <c r="AC70" s="164">
        <f t="shared" si="55"/>
        <v>-16973.905000000166</v>
      </c>
      <c r="AD70" s="164">
        <f>AD62</f>
        <v>17503753.473000001</v>
      </c>
      <c r="BR70" s="164">
        <f>BR62</f>
        <v>12018375.589559998</v>
      </c>
      <c r="BS70" s="164">
        <f>BS62</f>
        <v>7303195.1129999999</v>
      </c>
      <c r="BT70" s="164">
        <f>BT62</f>
        <v>9763794.9409999996</v>
      </c>
      <c r="BU70" s="164">
        <f>BU62</f>
        <v>25901764.6743</v>
      </c>
    </row>
    <row r="71" spans="1:73" ht="22.5" x14ac:dyDescent="0.25">
      <c r="A71" s="152"/>
      <c r="B71" s="169"/>
      <c r="C71" s="154"/>
      <c r="D71" s="63"/>
      <c r="E71" s="63"/>
      <c r="F71" s="63"/>
      <c r="G71" s="136"/>
      <c r="H71" s="143"/>
      <c r="I71" s="144"/>
      <c r="J71" s="143"/>
      <c r="K71" s="143"/>
      <c r="L71" s="143"/>
      <c r="M71" s="143"/>
      <c r="N71" s="143"/>
      <c r="O71" s="143"/>
      <c r="P71" s="143"/>
      <c r="Q71" s="152"/>
      <c r="R71" s="15"/>
      <c r="S71" s="1"/>
      <c r="T71" s="49"/>
      <c r="U71" s="168"/>
      <c r="V71" s="1"/>
      <c r="W71" s="1"/>
      <c r="X71" s="1"/>
      <c r="Y71" s="38"/>
      <c r="Z71" s="1"/>
      <c r="AA71" s="49"/>
      <c r="AB71" s="1"/>
      <c r="AC71" s="1"/>
      <c r="AD71" s="1"/>
      <c r="BR71" s="1"/>
      <c r="BS71" s="1"/>
      <c r="BT71" s="1"/>
      <c r="BU71" s="1"/>
    </row>
    <row r="72" spans="1:73" ht="22.5" x14ac:dyDescent="0.25">
      <c r="A72" s="152"/>
      <c r="B72" s="170"/>
      <c r="C72" s="154"/>
      <c r="D72" s="63"/>
      <c r="E72" s="63"/>
      <c r="F72" s="63"/>
      <c r="G72" s="136"/>
      <c r="H72" s="143"/>
      <c r="I72" s="144"/>
      <c r="J72" s="143"/>
      <c r="K72" s="143"/>
      <c r="L72" s="143"/>
      <c r="M72" s="143"/>
      <c r="N72" s="143"/>
      <c r="O72" s="143"/>
      <c r="P72" s="143"/>
      <c r="Q72" s="1"/>
      <c r="R72" s="15"/>
      <c r="S72" s="1"/>
      <c r="T72" s="49"/>
      <c r="U72" s="168"/>
      <c r="V72" s="1"/>
      <c r="W72" s="38"/>
      <c r="X72" s="38"/>
      <c r="Y72" s="38"/>
      <c r="Z72" s="38"/>
      <c r="AA72" s="69"/>
      <c r="AB72" s="38"/>
      <c r="AC72" s="38"/>
      <c r="AD72" s="38"/>
      <c r="BR72" s="38"/>
      <c r="BS72" s="38"/>
      <c r="BT72" s="38"/>
      <c r="BU72" s="38"/>
    </row>
    <row r="73" spans="1:73" ht="18.75" x14ac:dyDescent="0.25">
      <c r="A73" s="1"/>
      <c r="B73" s="170"/>
      <c r="C73" s="170"/>
      <c r="D73" s="170"/>
      <c r="E73" s="170"/>
      <c r="F73" s="170"/>
      <c r="G73" s="171"/>
      <c r="H73" s="143"/>
      <c r="I73" s="144"/>
      <c r="J73" s="143"/>
      <c r="K73" s="143"/>
      <c r="L73" s="143"/>
      <c r="M73" s="143"/>
      <c r="N73" s="143"/>
      <c r="O73" s="143"/>
      <c r="P73" s="143"/>
      <c r="Q73" s="1"/>
      <c r="R73" s="15"/>
      <c r="S73" s="1"/>
      <c r="T73" s="49"/>
      <c r="U73" s="168"/>
      <c r="V73" s="1"/>
      <c r="W73" s="1"/>
      <c r="X73" s="1"/>
      <c r="Y73" s="1"/>
      <c r="Z73" s="1"/>
      <c r="AA73" s="49"/>
      <c r="AB73" s="1"/>
      <c r="AC73" s="1"/>
      <c r="AD73" s="1"/>
      <c r="BR73" s="1"/>
      <c r="BS73" s="1"/>
      <c r="BT73" s="1"/>
      <c r="BU73" s="1"/>
    </row>
    <row r="74" spans="1:73" ht="18.75" x14ac:dyDescent="0.25">
      <c r="A74" s="1"/>
      <c r="B74" s="170"/>
      <c r="C74" s="170"/>
      <c r="D74" s="170"/>
      <c r="E74" s="170"/>
      <c r="F74" s="170"/>
      <c r="G74" s="171"/>
      <c r="H74" s="143"/>
      <c r="I74" s="144"/>
      <c r="J74" s="143"/>
      <c r="K74" s="143"/>
      <c r="L74" s="143"/>
      <c r="M74" s="143"/>
      <c r="N74" s="143"/>
      <c r="O74" s="143"/>
      <c r="P74" s="143"/>
      <c r="Q74" s="1"/>
      <c r="R74" s="15"/>
      <c r="S74" s="1"/>
      <c r="T74" s="69"/>
      <c r="U74" s="168"/>
      <c r="V74" s="1"/>
      <c r="W74" s="1"/>
      <c r="X74" s="1"/>
      <c r="Y74" s="1"/>
      <c r="Z74" s="1"/>
      <c r="AA74" s="172"/>
      <c r="AB74" s="1"/>
      <c r="AC74" s="1"/>
      <c r="AD74" s="1"/>
      <c r="BR74" s="1"/>
      <c r="BS74" s="1"/>
      <c r="BT74" s="1"/>
      <c r="BU74" s="1"/>
    </row>
    <row r="75" spans="1:73" ht="18.75" x14ac:dyDescent="0.25">
      <c r="A75" s="1"/>
      <c r="B75" s="170"/>
      <c r="C75" s="170"/>
      <c r="D75" s="170"/>
      <c r="E75" s="170"/>
      <c r="F75" s="170"/>
      <c r="G75" s="171"/>
      <c r="H75" s="143"/>
      <c r="I75" s="144"/>
      <c r="J75" s="143"/>
      <c r="K75" s="143"/>
      <c r="L75" s="143"/>
      <c r="M75" s="143"/>
      <c r="N75" s="143"/>
      <c r="O75" s="143"/>
      <c r="P75" s="143"/>
      <c r="Q75" s="1"/>
      <c r="R75" s="15"/>
      <c r="S75" s="1"/>
      <c r="T75" s="49"/>
      <c r="U75" s="168"/>
      <c r="V75" s="38"/>
      <c r="W75" s="38"/>
      <c r="X75" s="38"/>
      <c r="Y75" s="38"/>
      <c r="Z75" s="38"/>
      <c r="AA75" s="172"/>
      <c r="AB75" s="38"/>
      <c r="AC75" s="38"/>
      <c r="AD75" s="38"/>
      <c r="BR75" s="38"/>
      <c r="BS75" s="38"/>
      <c r="BT75" s="38"/>
      <c r="BU75" s="38"/>
    </row>
    <row r="76" spans="1:73" ht="18.75" x14ac:dyDescent="0.25">
      <c r="A76" s="1"/>
      <c r="B76" s="170"/>
      <c r="C76" s="170"/>
      <c r="D76" s="170"/>
      <c r="E76" s="170"/>
      <c r="F76" s="170"/>
      <c r="G76" s="171"/>
      <c r="H76" s="143"/>
      <c r="I76" s="144"/>
      <c r="J76" s="143"/>
      <c r="K76" s="143"/>
      <c r="L76" s="143"/>
      <c r="M76" s="143"/>
      <c r="N76" s="143"/>
      <c r="O76" s="143"/>
      <c r="P76" s="143"/>
      <c r="Q76" s="1"/>
      <c r="R76" s="15"/>
      <c r="S76" s="1"/>
      <c r="T76" s="49"/>
      <c r="U76" s="168"/>
      <c r="V76" s="1"/>
      <c r="W76" s="1"/>
      <c r="X76" s="1"/>
      <c r="Y76" s="1"/>
      <c r="Z76" s="1"/>
      <c r="AA76" s="49"/>
      <c r="AB76" s="1"/>
      <c r="AC76" s="1"/>
      <c r="AD76" s="1"/>
      <c r="BR76" s="1"/>
      <c r="BS76" s="1"/>
      <c r="BT76" s="1"/>
      <c r="BU76" s="1"/>
    </row>
    <row r="77" spans="1:73" ht="18.75" x14ac:dyDescent="0.25">
      <c r="A77" s="1"/>
      <c r="B77" s="170"/>
      <c r="C77" s="170"/>
      <c r="D77" s="170"/>
      <c r="E77" s="170"/>
      <c r="F77" s="170"/>
      <c r="G77" s="171"/>
      <c r="H77" s="143"/>
      <c r="I77" s="144"/>
      <c r="J77" s="143"/>
      <c r="K77" s="143"/>
      <c r="L77" s="143"/>
      <c r="M77" s="143"/>
      <c r="N77" s="143"/>
      <c r="O77" s="143"/>
      <c r="P77" s="143"/>
      <c r="Q77" s="1"/>
      <c r="R77" s="15"/>
      <c r="S77" s="1"/>
      <c r="T77" s="49"/>
      <c r="U77" s="168"/>
      <c r="V77" s="1"/>
      <c r="W77" s="1"/>
      <c r="X77" s="1"/>
      <c r="Y77" s="1"/>
      <c r="Z77" s="1"/>
      <c r="AA77" s="49"/>
      <c r="AB77" s="1"/>
      <c r="AC77" s="1"/>
      <c r="AD77" s="1"/>
      <c r="BR77" s="1"/>
      <c r="BS77" s="1"/>
      <c r="BT77" s="1"/>
      <c r="BU77" s="1"/>
    </row>
    <row r="78" spans="1:73" ht="18.75" x14ac:dyDescent="0.25">
      <c r="A78" s="1"/>
      <c r="B78" s="170"/>
      <c r="C78" s="170"/>
      <c r="D78" s="170"/>
      <c r="E78" s="170"/>
      <c r="F78" s="170"/>
      <c r="G78" s="171"/>
      <c r="H78" s="143"/>
      <c r="I78" s="144"/>
      <c r="J78" s="143"/>
      <c r="K78" s="143"/>
      <c r="L78" s="143"/>
      <c r="M78" s="143"/>
      <c r="N78" s="143"/>
      <c r="O78" s="143"/>
      <c r="P78" s="143"/>
      <c r="Q78" s="1"/>
      <c r="R78" s="15"/>
      <c r="S78" s="1"/>
      <c r="T78" s="49"/>
      <c r="U78" s="168"/>
      <c r="V78" s="1"/>
      <c r="W78" s="1"/>
      <c r="X78" s="1"/>
      <c r="Y78" s="1"/>
      <c r="Z78" s="1"/>
      <c r="AA78" s="172"/>
      <c r="AB78" s="1"/>
      <c r="AC78" s="1"/>
      <c r="AD78" s="1"/>
      <c r="BR78" s="1"/>
      <c r="BS78" s="1"/>
      <c r="BT78" s="1"/>
      <c r="BU78" s="1"/>
    </row>
    <row r="79" spans="1:73" ht="18.75" x14ac:dyDescent="0.25">
      <c r="B79" s="170"/>
      <c r="C79" s="170"/>
      <c r="D79" s="170"/>
      <c r="E79" s="170"/>
      <c r="F79" s="170"/>
      <c r="G79" s="171"/>
      <c r="H79" s="143"/>
      <c r="I79" s="144"/>
      <c r="J79" s="143"/>
      <c r="K79" s="143"/>
      <c r="L79" s="143"/>
      <c r="M79" s="143"/>
      <c r="N79" s="143"/>
      <c r="O79" s="143"/>
      <c r="P79" s="143"/>
      <c r="R79" s="15"/>
      <c r="S79" s="1"/>
      <c r="T79" s="49"/>
      <c r="U79" s="168"/>
      <c r="V79" s="1"/>
      <c r="W79" s="1"/>
      <c r="X79" s="1"/>
      <c r="Y79" s="1"/>
      <c r="Z79" s="1"/>
      <c r="AA79" s="49"/>
      <c r="AB79" s="1"/>
      <c r="AC79" s="1"/>
      <c r="AD79" s="1"/>
      <c r="BR79" s="1"/>
      <c r="BS79" s="1"/>
      <c r="BT79" s="1"/>
      <c r="BU79" s="1"/>
    </row>
    <row r="80" spans="1:73" ht="18.75" x14ac:dyDescent="0.25">
      <c r="A80" s="1"/>
      <c r="B80" s="170"/>
      <c r="C80" s="170"/>
      <c r="D80" s="170"/>
      <c r="E80" s="170"/>
      <c r="F80" s="170"/>
      <c r="G80" s="171"/>
      <c r="S80" s="1"/>
      <c r="T80" s="49"/>
      <c r="U80" s="168"/>
      <c r="V80" s="1"/>
      <c r="W80" s="1"/>
      <c r="X80" s="38"/>
      <c r="Y80" s="38"/>
      <c r="Z80" s="38"/>
      <c r="AA80" s="69"/>
      <c r="AB80" s="38"/>
      <c r="AC80" s="38"/>
      <c r="AD80" s="38"/>
      <c r="BR80" s="38"/>
      <c r="BS80" s="38"/>
      <c r="BT80" s="38"/>
      <c r="BU80" s="38"/>
    </row>
    <row r="81" spans="19:73" ht="18.75" x14ac:dyDescent="0.25">
      <c r="S81" s="1"/>
      <c r="T81" s="49"/>
      <c r="U81" s="168"/>
      <c r="V81" s="1"/>
      <c r="W81" s="1"/>
      <c r="X81" s="1"/>
      <c r="Y81" s="1"/>
      <c r="Z81" s="1"/>
      <c r="AA81" s="49"/>
      <c r="AB81" s="1"/>
      <c r="AC81" s="1"/>
      <c r="AD81" s="1"/>
      <c r="BR81" s="1"/>
      <c r="BS81" s="1"/>
      <c r="BT81" s="1"/>
      <c r="BU81" s="1"/>
    </row>
  </sheetData>
  <mergeCells count="19">
    <mergeCell ref="A1:AD1"/>
    <mergeCell ref="A2:B2"/>
    <mergeCell ref="R2:V2"/>
    <mergeCell ref="AY3:BB3"/>
    <mergeCell ref="R4:R26"/>
    <mergeCell ref="Q5:Q15"/>
    <mergeCell ref="R59:R60"/>
    <mergeCell ref="R61:R69"/>
    <mergeCell ref="A62:E62"/>
    <mergeCell ref="BI7:BM7"/>
    <mergeCell ref="BN7:BQ7"/>
    <mergeCell ref="AF8:AH8"/>
    <mergeCell ref="AI8:AW8"/>
    <mergeCell ref="Q17:Q67"/>
    <mergeCell ref="R27:R38"/>
    <mergeCell ref="R39:R49"/>
    <mergeCell ref="R50:R54"/>
    <mergeCell ref="R55:R56"/>
    <mergeCell ref="R57:R58"/>
  </mergeCells>
  <printOptions horizontalCentered="1"/>
  <pageMargins left="0.15748031496062992" right="0.15748031496062992" top="0" bottom="0.11811023622047245" header="0.15748031496062992" footer="0.15748031496062992"/>
  <pageSetup paperSize="9" scale="27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2021-2023 (факт-зміни2)</vt:lpstr>
      <vt:lpstr>'2021-2023 (факт-зміни2)'!Область_друку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bevzenko</dc:creator>
  <cp:lastModifiedBy>Оксана В. Вем</cp:lastModifiedBy>
  <cp:lastPrinted>2023-04-27T06:27:49Z</cp:lastPrinted>
  <dcterms:created xsi:type="dcterms:W3CDTF">2022-11-03T12:27:28Z</dcterms:created>
  <dcterms:modified xsi:type="dcterms:W3CDTF">2023-04-27T07:07:04Z</dcterms:modified>
</cp:coreProperties>
</file>